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ws\Desktop\"/>
    </mc:Choice>
  </mc:AlternateContent>
  <bookViews>
    <workbookView xWindow="0" yWindow="0" windowWidth="26160" windowHeight="9615"/>
  </bookViews>
  <sheets>
    <sheet name="SQLT0002" sheetId="1" r:id="rId1"/>
  </sheets>
  <calcPr calcId="0"/>
</workbook>
</file>

<file path=xl/calcChain.xml><?xml version="1.0" encoding="utf-8"?>
<calcChain xmlns="http://schemas.openxmlformats.org/spreadsheetml/2006/main">
  <c r="A1" i="1" l="1"/>
  <c r="B1" i="1"/>
  <c r="C1" i="1"/>
  <c r="D1" i="1"/>
  <c r="E1" i="1"/>
  <c r="F1" i="1"/>
  <c r="G1" i="1"/>
  <c r="H1" i="1"/>
  <c r="I1" i="1"/>
  <c r="J1" i="1"/>
  <c r="K1" i="1"/>
  <c r="L1" i="1"/>
  <c r="M1" i="1"/>
  <c r="N1" i="1"/>
  <c r="O1" i="1"/>
  <c r="P1" i="1"/>
  <c r="A2" i="1"/>
  <c r="B2" i="1"/>
  <c r="C2" i="1"/>
  <c r="D2" i="1"/>
  <c r="E2" i="1"/>
  <c r="F2" i="1"/>
  <c r="G2" i="1"/>
  <c r="H2" i="1"/>
  <c r="I2" i="1"/>
  <c r="J2" i="1"/>
  <c r="K2" i="1"/>
  <c r="L2" i="1"/>
  <c r="M2" i="1"/>
  <c r="N2" i="1"/>
  <c r="O2" i="1"/>
  <c r="P2" i="1"/>
  <c r="Q2" i="1"/>
  <c r="A3" i="1"/>
  <c r="B3" i="1"/>
  <c r="C3" i="1"/>
  <c r="D3" i="1"/>
  <c r="E3" i="1"/>
  <c r="F3" i="1"/>
  <c r="G3" i="1"/>
  <c r="H3" i="1"/>
  <c r="I3" i="1"/>
  <c r="J3" i="1"/>
  <c r="K3" i="1"/>
  <c r="L3" i="1"/>
  <c r="M3" i="1"/>
  <c r="N3" i="1"/>
  <c r="O3" i="1"/>
  <c r="P3" i="1"/>
  <c r="Q3" i="1"/>
  <c r="A4" i="1"/>
  <c r="B4" i="1"/>
  <c r="C4" i="1"/>
  <c r="D4" i="1"/>
  <c r="E4" i="1"/>
  <c r="F4" i="1"/>
  <c r="G4" i="1"/>
  <c r="H4" i="1"/>
  <c r="I4" i="1"/>
  <c r="J4" i="1"/>
  <c r="K4" i="1"/>
  <c r="L4" i="1"/>
  <c r="M4" i="1"/>
  <c r="N4" i="1"/>
  <c r="O4" i="1"/>
  <c r="P4" i="1"/>
  <c r="Q4" i="1"/>
  <c r="A5" i="1"/>
  <c r="B5" i="1"/>
  <c r="C5" i="1"/>
  <c r="D5" i="1"/>
  <c r="E5" i="1"/>
  <c r="F5" i="1"/>
  <c r="G5" i="1"/>
  <c r="H5" i="1"/>
  <c r="I5" i="1"/>
  <c r="J5" i="1"/>
  <c r="K5" i="1"/>
  <c r="L5" i="1"/>
  <c r="M5" i="1"/>
  <c r="N5" i="1"/>
  <c r="O5" i="1"/>
  <c r="P5" i="1"/>
  <c r="Q5" i="1"/>
  <c r="A6" i="1"/>
  <c r="B6" i="1"/>
  <c r="C6" i="1"/>
  <c r="D6" i="1"/>
  <c r="E6" i="1"/>
  <c r="F6" i="1"/>
  <c r="G6" i="1"/>
  <c r="H6" i="1"/>
  <c r="I6" i="1"/>
  <c r="J6" i="1"/>
  <c r="K6" i="1"/>
  <c r="L6" i="1"/>
  <c r="M6" i="1"/>
  <c r="N6" i="1"/>
  <c r="O6" i="1"/>
  <c r="P6" i="1"/>
  <c r="Q6" i="1"/>
  <c r="A7" i="1"/>
  <c r="B7" i="1"/>
  <c r="C7" i="1"/>
  <c r="D7" i="1"/>
  <c r="E7" i="1"/>
  <c r="F7" i="1"/>
  <c r="G7" i="1"/>
  <c r="H7" i="1"/>
  <c r="I7" i="1"/>
  <c r="J7" i="1"/>
  <c r="K7" i="1"/>
  <c r="L7" i="1"/>
  <c r="M7" i="1"/>
  <c r="N7" i="1"/>
  <c r="O7" i="1"/>
  <c r="P7" i="1"/>
  <c r="Q7" i="1"/>
  <c r="A8" i="1"/>
  <c r="B8" i="1"/>
  <c r="C8" i="1"/>
  <c r="E8" i="1"/>
  <c r="F8" i="1"/>
  <c r="G8" i="1"/>
  <c r="H8" i="1"/>
  <c r="I8" i="1"/>
  <c r="J8" i="1"/>
  <c r="K8" i="1"/>
  <c r="L8" i="1"/>
  <c r="M8" i="1"/>
  <c r="N8" i="1"/>
  <c r="O8" i="1"/>
  <c r="P8" i="1"/>
  <c r="Q8" i="1"/>
  <c r="A9" i="1"/>
  <c r="B9" i="1"/>
  <c r="C9" i="1"/>
  <c r="E9" i="1"/>
  <c r="F9" i="1"/>
  <c r="G9" i="1"/>
  <c r="H9" i="1"/>
  <c r="I9" i="1"/>
  <c r="J9" i="1"/>
  <c r="K9" i="1"/>
  <c r="L9" i="1"/>
  <c r="M9" i="1"/>
  <c r="N9" i="1"/>
  <c r="O9" i="1"/>
  <c r="P9" i="1"/>
  <c r="Q9" i="1"/>
  <c r="A10" i="1"/>
  <c r="B10" i="1"/>
  <c r="C10" i="1"/>
  <c r="D10" i="1"/>
  <c r="E10" i="1"/>
  <c r="F10" i="1"/>
  <c r="G10" i="1"/>
  <c r="H10" i="1"/>
  <c r="I10" i="1"/>
  <c r="J10" i="1"/>
  <c r="K10" i="1"/>
  <c r="L10" i="1"/>
  <c r="M10" i="1"/>
  <c r="N10" i="1"/>
  <c r="O10" i="1"/>
  <c r="P10" i="1"/>
  <c r="Q10" i="1"/>
  <c r="A11" i="1"/>
  <c r="B11" i="1"/>
  <c r="C11" i="1"/>
  <c r="D11" i="1"/>
  <c r="E11" i="1"/>
  <c r="F11" i="1"/>
  <c r="G11" i="1"/>
  <c r="H11" i="1"/>
  <c r="I11" i="1"/>
  <c r="J11" i="1"/>
  <c r="K11" i="1"/>
  <c r="L11" i="1"/>
  <c r="M11" i="1"/>
  <c r="N11" i="1"/>
  <c r="O11" i="1"/>
  <c r="P11" i="1"/>
  <c r="Q11" i="1"/>
  <c r="A12" i="1"/>
  <c r="B12" i="1"/>
  <c r="C12" i="1"/>
  <c r="D12" i="1"/>
  <c r="E12" i="1"/>
  <c r="F12" i="1"/>
  <c r="G12" i="1"/>
  <c r="H12" i="1"/>
  <c r="I12" i="1"/>
  <c r="J12" i="1"/>
  <c r="K12" i="1"/>
  <c r="L12" i="1"/>
  <c r="M12" i="1"/>
  <c r="N12" i="1"/>
  <c r="O12" i="1"/>
  <c r="P12" i="1"/>
  <c r="Q12" i="1"/>
  <c r="A13" i="1"/>
  <c r="B13" i="1"/>
  <c r="C13" i="1"/>
  <c r="E13" i="1"/>
  <c r="F13" i="1"/>
  <c r="G13" i="1"/>
  <c r="H13" i="1"/>
  <c r="I13" i="1"/>
  <c r="J13" i="1"/>
  <c r="K13" i="1"/>
  <c r="L13" i="1"/>
  <c r="M13" i="1"/>
  <c r="N13" i="1"/>
  <c r="O13" i="1"/>
  <c r="P13" i="1"/>
  <c r="Q13" i="1"/>
  <c r="A14" i="1"/>
  <c r="B14" i="1"/>
  <c r="C14" i="1"/>
  <c r="E14" i="1"/>
  <c r="F14" i="1"/>
  <c r="G14" i="1"/>
  <c r="H14" i="1"/>
  <c r="I14" i="1"/>
  <c r="J14" i="1"/>
  <c r="K14" i="1"/>
  <c r="L14" i="1"/>
  <c r="M14" i="1"/>
  <c r="N14" i="1"/>
  <c r="O14" i="1"/>
  <c r="P14" i="1"/>
  <c r="Q14" i="1"/>
  <c r="A15" i="1"/>
  <c r="B15" i="1"/>
  <c r="C15" i="1"/>
  <c r="D15" i="1"/>
  <c r="E15" i="1"/>
  <c r="F15" i="1"/>
  <c r="G15" i="1"/>
  <c r="H15" i="1"/>
  <c r="I15" i="1"/>
  <c r="J15" i="1"/>
  <c r="K15" i="1"/>
  <c r="L15" i="1"/>
  <c r="M15" i="1"/>
  <c r="N15" i="1"/>
  <c r="O15" i="1"/>
  <c r="P15" i="1"/>
  <c r="Q15" i="1"/>
  <c r="A16" i="1"/>
  <c r="B16" i="1"/>
  <c r="C16" i="1"/>
  <c r="D16" i="1"/>
  <c r="E16" i="1"/>
  <c r="F16" i="1"/>
  <c r="G16" i="1"/>
  <c r="H16" i="1"/>
  <c r="I16" i="1"/>
  <c r="J16" i="1"/>
  <c r="K16" i="1"/>
  <c r="L16" i="1"/>
  <c r="M16" i="1"/>
  <c r="N16" i="1"/>
  <c r="O16" i="1"/>
  <c r="P16" i="1"/>
  <c r="Q16" i="1"/>
  <c r="A17" i="1"/>
  <c r="B17" i="1"/>
  <c r="C17" i="1"/>
  <c r="E17" i="1"/>
  <c r="F17" i="1"/>
  <c r="G17" i="1"/>
  <c r="H17" i="1"/>
  <c r="I17" i="1"/>
  <c r="J17" i="1"/>
  <c r="K17" i="1"/>
  <c r="L17" i="1"/>
  <c r="M17" i="1"/>
  <c r="N17" i="1"/>
  <c r="O17" i="1"/>
  <c r="P17" i="1"/>
  <c r="Q17" i="1"/>
  <c r="A18" i="1"/>
  <c r="B18" i="1"/>
  <c r="C18" i="1"/>
  <c r="E18" i="1"/>
  <c r="F18" i="1"/>
  <c r="G18" i="1"/>
  <c r="H18" i="1"/>
  <c r="I18" i="1"/>
  <c r="J18" i="1"/>
  <c r="K18" i="1"/>
  <c r="L18" i="1"/>
  <c r="M18" i="1"/>
  <c r="N18" i="1"/>
  <c r="O18" i="1"/>
  <c r="P18" i="1"/>
  <c r="Q18" i="1"/>
  <c r="A19" i="1"/>
  <c r="B19" i="1"/>
  <c r="C19" i="1"/>
  <c r="D19" i="1"/>
  <c r="E19" i="1"/>
  <c r="F19" i="1"/>
  <c r="G19" i="1"/>
  <c r="H19" i="1"/>
  <c r="I19" i="1"/>
  <c r="J19" i="1"/>
  <c r="K19" i="1"/>
  <c r="L19" i="1"/>
  <c r="M19" i="1"/>
  <c r="N19" i="1"/>
  <c r="O19" i="1"/>
  <c r="P19" i="1"/>
  <c r="Q19" i="1"/>
  <c r="A20" i="1"/>
  <c r="B20" i="1"/>
  <c r="C20" i="1"/>
  <c r="D20" i="1"/>
  <c r="E20" i="1"/>
  <c r="F20" i="1"/>
  <c r="G20" i="1"/>
  <c r="H20" i="1"/>
  <c r="I20" i="1"/>
  <c r="J20" i="1"/>
  <c r="K20" i="1"/>
  <c r="L20" i="1"/>
  <c r="M20" i="1"/>
  <c r="N20" i="1"/>
  <c r="O20" i="1"/>
  <c r="P20" i="1"/>
  <c r="Q20" i="1"/>
  <c r="A21" i="1"/>
  <c r="B21" i="1"/>
  <c r="C21" i="1"/>
  <c r="D21" i="1"/>
  <c r="E21" i="1"/>
  <c r="F21" i="1"/>
  <c r="G21" i="1"/>
  <c r="H21" i="1"/>
  <c r="I21" i="1"/>
  <c r="J21" i="1"/>
  <c r="K21" i="1"/>
  <c r="L21" i="1"/>
  <c r="M21" i="1"/>
  <c r="N21" i="1"/>
  <c r="O21" i="1"/>
  <c r="P21" i="1"/>
  <c r="Q21" i="1"/>
  <c r="A22" i="1"/>
  <c r="B22" i="1"/>
  <c r="C22" i="1"/>
  <c r="D22" i="1"/>
  <c r="E22" i="1"/>
  <c r="F22" i="1"/>
  <c r="G22" i="1"/>
  <c r="H22" i="1"/>
  <c r="I22" i="1"/>
  <c r="J22" i="1"/>
  <c r="K22" i="1"/>
  <c r="L22" i="1"/>
  <c r="M22" i="1"/>
  <c r="N22" i="1"/>
  <c r="O22" i="1"/>
  <c r="P22" i="1"/>
  <c r="Q22" i="1"/>
  <c r="A23" i="1"/>
  <c r="B23" i="1"/>
  <c r="C23" i="1"/>
  <c r="D23" i="1"/>
  <c r="E23" i="1"/>
  <c r="F23" i="1"/>
  <c r="G23" i="1"/>
  <c r="H23" i="1"/>
  <c r="I23" i="1"/>
  <c r="J23" i="1"/>
  <c r="K23" i="1"/>
  <c r="L23" i="1"/>
  <c r="M23" i="1"/>
  <c r="N23" i="1"/>
  <c r="O23" i="1"/>
  <c r="P23" i="1"/>
  <c r="Q23" i="1"/>
  <c r="A24" i="1"/>
  <c r="B24" i="1"/>
  <c r="C24" i="1"/>
  <c r="D24" i="1"/>
  <c r="E24" i="1"/>
  <c r="F24" i="1"/>
  <c r="G24" i="1"/>
  <c r="H24" i="1"/>
  <c r="I24" i="1"/>
  <c r="J24" i="1"/>
  <c r="K24" i="1"/>
  <c r="L24" i="1"/>
  <c r="M24" i="1"/>
  <c r="N24" i="1"/>
  <c r="O24" i="1"/>
  <c r="P24" i="1"/>
  <c r="Q24" i="1"/>
  <c r="A25" i="1"/>
  <c r="B25" i="1"/>
  <c r="C25" i="1"/>
  <c r="D25" i="1"/>
  <c r="E25" i="1"/>
  <c r="F25" i="1"/>
  <c r="G25" i="1"/>
  <c r="H25" i="1"/>
  <c r="I25" i="1"/>
  <c r="J25" i="1"/>
  <c r="K25" i="1"/>
  <c r="L25" i="1"/>
  <c r="M25" i="1"/>
  <c r="N25" i="1"/>
  <c r="O25" i="1"/>
  <c r="P25" i="1"/>
  <c r="Q25" i="1"/>
  <c r="A26" i="1"/>
  <c r="B26" i="1"/>
  <c r="C26" i="1"/>
  <c r="D26" i="1"/>
  <c r="E26" i="1"/>
  <c r="F26" i="1"/>
  <c r="G26" i="1"/>
  <c r="H26" i="1"/>
  <c r="I26" i="1"/>
  <c r="J26" i="1"/>
  <c r="K26" i="1"/>
  <c r="L26" i="1"/>
  <c r="M26" i="1"/>
  <c r="N26" i="1"/>
  <c r="O26" i="1"/>
  <c r="P26" i="1"/>
  <c r="Q26" i="1"/>
  <c r="A27" i="1"/>
  <c r="B27" i="1"/>
  <c r="C27" i="1"/>
  <c r="E27" i="1"/>
  <c r="F27" i="1"/>
  <c r="G27" i="1"/>
  <c r="H27" i="1"/>
  <c r="I27" i="1"/>
  <c r="J27" i="1"/>
  <c r="K27" i="1"/>
  <c r="L27" i="1"/>
  <c r="M27" i="1"/>
  <c r="N27" i="1"/>
  <c r="O27" i="1"/>
  <c r="P27" i="1"/>
  <c r="Q27" i="1"/>
  <c r="A28" i="1"/>
  <c r="B28" i="1"/>
  <c r="C28" i="1"/>
  <c r="D28" i="1"/>
  <c r="E28" i="1"/>
  <c r="F28" i="1"/>
  <c r="G28" i="1"/>
  <c r="H28" i="1"/>
  <c r="I28" i="1"/>
  <c r="J28" i="1"/>
  <c r="K28" i="1"/>
  <c r="L28" i="1"/>
  <c r="M28" i="1"/>
  <c r="N28" i="1"/>
  <c r="O28" i="1"/>
  <c r="P28" i="1"/>
  <c r="Q28" i="1"/>
  <c r="A29" i="1"/>
  <c r="B29" i="1"/>
  <c r="C29" i="1"/>
  <c r="D29" i="1"/>
  <c r="E29" i="1"/>
  <c r="F29" i="1"/>
  <c r="G29" i="1"/>
  <c r="H29" i="1"/>
  <c r="I29" i="1"/>
  <c r="J29" i="1"/>
  <c r="K29" i="1"/>
  <c r="L29" i="1"/>
  <c r="M29" i="1"/>
  <c r="N29" i="1"/>
  <c r="O29" i="1"/>
  <c r="P29" i="1"/>
  <c r="Q29" i="1"/>
  <c r="A30" i="1"/>
  <c r="B30" i="1"/>
  <c r="C30" i="1"/>
  <c r="D30" i="1"/>
  <c r="E30" i="1"/>
  <c r="F30" i="1"/>
  <c r="G30" i="1"/>
  <c r="H30" i="1"/>
  <c r="I30" i="1"/>
  <c r="J30" i="1"/>
  <c r="K30" i="1"/>
  <c r="L30" i="1"/>
  <c r="M30" i="1"/>
  <c r="N30" i="1"/>
  <c r="O30" i="1"/>
  <c r="P30" i="1"/>
  <c r="Q30" i="1"/>
  <c r="A31" i="1"/>
  <c r="B31" i="1"/>
  <c r="C31" i="1"/>
  <c r="D31" i="1"/>
  <c r="E31" i="1"/>
  <c r="F31" i="1"/>
  <c r="G31" i="1"/>
  <c r="H31" i="1"/>
  <c r="I31" i="1"/>
  <c r="J31" i="1"/>
  <c r="K31" i="1"/>
  <c r="L31" i="1"/>
  <c r="M31" i="1"/>
  <c r="N31" i="1"/>
  <c r="O31" i="1"/>
  <c r="P31" i="1"/>
  <c r="Q31" i="1"/>
  <c r="A32" i="1"/>
  <c r="B32" i="1"/>
  <c r="C32" i="1"/>
  <c r="D32" i="1"/>
  <c r="E32" i="1"/>
  <c r="F32" i="1"/>
  <c r="G32" i="1"/>
  <c r="H32" i="1"/>
  <c r="I32" i="1"/>
  <c r="J32" i="1"/>
  <c r="K32" i="1"/>
  <c r="L32" i="1"/>
  <c r="M32" i="1"/>
  <c r="N32" i="1"/>
  <c r="O32" i="1"/>
  <c r="P32" i="1"/>
  <c r="Q32" i="1"/>
  <c r="A33" i="1"/>
  <c r="B33" i="1"/>
  <c r="C33" i="1"/>
  <c r="D33" i="1"/>
  <c r="E33" i="1"/>
  <c r="F33" i="1"/>
  <c r="G33" i="1"/>
  <c r="H33" i="1"/>
  <c r="I33" i="1"/>
  <c r="J33" i="1"/>
  <c r="K33" i="1"/>
  <c r="L33" i="1"/>
  <c r="M33" i="1"/>
  <c r="N33" i="1"/>
  <c r="O33" i="1"/>
  <c r="P33" i="1"/>
  <c r="Q33" i="1"/>
  <c r="A34" i="1"/>
  <c r="B34" i="1"/>
  <c r="C34" i="1"/>
  <c r="D34" i="1"/>
  <c r="E34" i="1"/>
  <c r="F34" i="1"/>
  <c r="G34" i="1"/>
  <c r="H34" i="1"/>
  <c r="I34" i="1"/>
  <c r="J34" i="1"/>
  <c r="K34" i="1"/>
  <c r="L34" i="1"/>
  <c r="M34" i="1"/>
  <c r="N34" i="1"/>
  <c r="O34" i="1"/>
  <c r="P34" i="1"/>
  <c r="Q34" i="1"/>
  <c r="A35" i="1"/>
  <c r="B35" i="1"/>
  <c r="C35" i="1"/>
  <c r="D35" i="1"/>
  <c r="E35" i="1"/>
  <c r="F35" i="1"/>
  <c r="G35" i="1"/>
  <c r="H35" i="1"/>
  <c r="I35" i="1"/>
  <c r="J35" i="1"/>
  <c r="K35" i="1"/>
  <c r="L35" i="1"/>
  <c r="M35" i="1"/>
  <c r="N35" i="1"/>
  <c r="O35" i="1"/>
  <c r="P35" i="1"/>
  <c r="Q35" i="1"/>
  <c r="A36" i="1"/>
  <c r="B36" i="1"/>
  <c r="C36" i="1"/>
  <c r="D36" i="1"/>
  <c r="E36" i="1"/>
  <c r="F36" i="1"/>
  <c r="G36" i="1"/>
  <c r="H36" i="1"/>
  <c r="I36" i="1"/>
  <c r="J36" i="1"/>
  <c r="K36" i="1"/>
  <c r="L36" i="1"/>
  <c r="M36" i="1"/>
  <c r="N36" i="1"/>
  <c r="O36" i="1"/>
  <c r="P36" i="1"/>
  <c r="Q36" i="1"/>
  <c r="A37" i="1"/>
  <c r="B37" i="1"/>
  <c r="C37" i="1"/>
  <c r="D37" i="1"/>
  <c r="E37" i="1"/>
  <c r="F37" i="1"/>
  <c r="G37" i="1"/>
  <c r="H37" i="1"/>
  <c r="I37" i="1"/>
  <c r="J37" i="1"/>
  <c r="K37" i="1"/>
  <c r="L37" i="1"/>
  <c r="M37" i="1"/>
  <c r="N37" i="1"/>
  <c r="O37" i="1"/>
  <c r="P37" i="1"/>
  <c r="Q37" i="1"/>
  <c r="A38" i="1"/>
  <c r="B38" i="1"/>
  <c r="C38" i="1"/>
  <c r="E38" i="1"/>
  <c r="F38" i="1"/>
  <c r="G38" i="1"/>
  <c r="H38" i="1"/>
  <c r="I38" i="1"/>
  <c r="J38" i="1"/>
  <c r="K38" i="1"/>
  <c r="L38" i="1"/>
  <c r="M38" i="1"/>
  <c r="N38" i="1"/>
  <c r="O38" i="1"/>
  <c r="P38" i="1"/>
  <c r="Q38" i="1"/>
  <c r="A39" i="1"/>
  <c r="B39" i="1"/>
  <c r="C39" i="1"/>
  <c r="D39" i="1"/>
  <c r="E39" i="1"/>
  <c r="F39" i="1"/>
  <c r="G39" i="1"/>
  <c r="H39" i="1"/>
  <c r="I39" i="1"/>
  <c r="J39" i="1"/>
  <c r="K39" i="1"/>
  <c r="L39" i="1"/>
  <c r="M39" i="1"/>
  <c r="N39" i="1"/>
  <c r="O39" i="1"/>
  <c r="P39" i="1"/>
  <c r="Q39" i="1"/>
  <c r="A40" i="1"/>
  <c r="B40" i="1"/>
  <c r="C40" i="1"/>
  <c r="D40" i="1"/>
  <c r="E40" i="1"/>
  <c r="F40" i="1"/>
  <c r="G40" i="1"/>
  <c r="H40" i="1"/>
  <c r="I40" i="1"/>
  <c r="J40" i="1"/>
  <c r="K40" i="1"/>
  <c r="L40" i="1"/>
  <c r="M40" i="1"/>
  <c r="N40" i="1"/>
  <c r="O40" i="1"/>
  <c r="P40" i="1"/>
  <c r="Q40" i="1"/>
  <c r="A41" i="1"/>
  <c r="B41" i="1"/>
  <c r="C41" i="1"/>
  <c r="D41" i="1"/>
  <c r="E41" i="1"/>
  <c r="F41" i="1"/>
  <c r="G41" i="1"/>
  <c r="H41" i="1"/>
  <c r="I41" i="1"/>
  <c r="J41" i="1"/>
  <c r="K41" i="1"/>
  <c r="L41" i="1"/>
  <c r="M41" i="1"/>
  <c r="N41" i="1"/>
  <c r="O41" i="1"/>
  <c r="P41" i="1"/>
  <c r="Q41" i="1"/>
  <c r="A42" i="1"/>
  <c r="B42" i="1"/>
  <c r="C42" i="1"/>
  <c r="D42" i="1"/>
  <c r="E42" i="1"/>
  <c r="F42" i="1"/>
  <c r="G42" i="1"/>
  <c r="H42" i="1"/>
  <c r="I42" i="1"/>
  <c r="J42" i="1"/>
  <c r="K42" i="1"/>
  <c r="L42" i="1"/>
  <c r="M42" i="1"/>
  <c r="N42" i="1"/>
  <c r="O42" i="1"/>
  <c r="P42" i="1"/>
  <c r="Q42" i="1"/>
  <c r="A43" i="1"/>
  <c r="B43" i="1"/>
  <c r="C43" i="1"/>
  <c r="D43" i="1"/>
  <c r="E43" i="1"/>
  <c r="F43" i="1"/>
  <c r="G43" i="1"/>
  <c r="H43" i="1"/>
  <c r="I43" i="1"/>
  <c r="J43" i="1"/>
  <c r="K43" i="1"/>
  <c r="L43" i="1"/>
  <c r="M43" i="1"/>
  <c r="N43" i="1"/>
  <c r="O43" i="1"/>
  <c r="P43" i="1"/>
  <c r="Q43" i="1"/>
  <c r="A44" i="1"/>
  <c r="B44" i="1"/>
  <c r="C44" i="1"/>
  <c r="D44" i="1"/>
  <c r="E44" i="1"/>
  <c r="F44" i="1"/>
  <c r="G44" i="1"/>
  <c r="H44" i="1"/>
  <c r="I44" i="1"/>
  <c r="J44" i="1"/>
  <c r="K44" i="1"/>
  <c r="L44" i="1"/>
  <c r="M44" i="1"/>
  <c r="N44" i="1"/>
  <c r="O44" i="1"/>
  <c r="P44" i="1"/>
  <c r="Q44" i="1"/>
  <c r="A45" i="1"/>
  <c r="B45" i="1"/>
  <c r="C45" i="1"/>
  <c r="D45" i="1"/>
  <c r="E45" i="1"/>
  <c r="F45" i="1"/>
  <c r="G45" i="1"/>
  <c r="H45" i="1"/>
  <c r="I45" i="1"/>
  <c r="J45" i="1"/>
  <c r="K45" i="1"/>
  <c r="L45" i="1"/>
  <c r="M45" i="1"/>
  <c r="N45" i="1"/>
  <c r="O45" i="1"/>
  <c r="P45" i="1"/>
  <c r="Q45" i="1"/>
  <c r="A46" i="1"/>
  <c r="B46" i="1"/>
  <c r="C46" i="1"/>
  <c r="D46" i="1"/>
  <c r="E46" i="1"/>
  <c r="F46" i="1"/>
  <c r="G46" i="1"/>
  <c r="H46" i="1"/>
  <c r="I46" i="1"/>
  <c r="J46" i="1"/>
  <c r="K46" i="1"/>
  <c r="L46" i="1"/>
  <c r="M46" i="1"/>
  <c r="N46" i="1"/>
  <c r="O46" i="1"/>
  <c r="P46" i="1"/>
  <c r="Q46" i="1"/>
  <c r="A47" i="1"/>
  <c r="B47" i="1"/>
  <c r="C47" i="1"/>
  <c r="D47" i="1"/>
  <c r="E47" i="1"/>
  <c r="F47" i="1"/>
  <c r="G47" i="1"/>
  <c r="H47" i="1"/>
  <c r="I47" i="1"/>
  <c r="J47" i="1"/>
  <c r="K47" i="1"/>
  <c r="L47" i="1"/>
  <c r="M47" i="1"/>
  <c r="N47" i="1"/>
  <c r="O47" i="1"/>
  <c r="P47" i="1"/>
  <c r="Q47" i="1"/>
  <c r="A48" i="1"/>
  <c r="B48" i="1"/>
  <c r="C48" i="1"/>
  <c r="D48" i="1"/>
  <c r="E48" i="1"/>
  <c r="F48" i="1"/>
  <c r="G48" i="1"/>
  <c r="H48" i="1"/>
  <c r="I48" i="1"/>
  <c r="J48" i="1"/>
  <c r="K48" i="1"/>
  <c r="L48" i="1"/>
  <c r="M48" i="1"/>
  <c r="N48" i="1"/>
  <c r="O48" i="1"/>
  <c r="P48" i="1"/>
  <c r="Q48" i="1"/>
  <c r="A49" i="1"/>
  <c r="B49" i="1"/>
  <c r="C49" i="1"/>
  <c r="D49" i="1"/>
  <c r="E49" i="1"/>
  <c r="F49" i="1"/>
  <c r="G49" i="1"/>
  <c r="H49" i="1"/>
  <c r="I49" i="1"/>
  <c r="J49" i="1"/>
  <c r="K49" i="1"/>
  <c r="L49" i="1"/>
  <c r="M49" i="1"/>
  <c r="N49" i="1"/>
  <c r="O49" i="1"/>
  <c r="P49" i="1"/>
  <c r="Q49" i="1"/>
  <c r="A50" i="1"/>
  <c r="B50" i="1"/>
  <c r="C50" i="1"/>
  <c r="D50" i="1"/>
  <c r="E50" i="1"/>
  <c r="F50" i="1"/>
  <c r="G50" i="1"/>
  <c r="H50" i="1"/>
  <c r="I50" i="1"/>
  <c r="J50" i="1"/>
  <c r="K50" i="1"/>
  <c r="L50" i="1"/>
  <c r="M50" i="1"/>
  <c r="N50" i="1"/>
  <c r="O50" i="1"/>
  <c r="P50" i="1"/>
  <c r="Q50" i="1"/>
  <c r="A51" i="1"/>
  <c r="B51" i="1"/>
  <c r="C51" i="1"/>
  <c r="D51" i="1"/>
  <c r="E51" i="1"/>
  <c r="F51" i="1"/>
  <c r="G51" i="1"/>
  <c r="H51" i="1"/>
  <c r="I51" i="1"/>
  <c r="J51" i="1"/>
  <c r="K51" i="1"/>
  <c r="L51" i="1"/>
  <c r="M51" i="1"/>
  <c r="N51" i="1"/>
  <c r="O51" i="1"/>
  <c r="P51" i="1"/>
  <c r="Q51" i="1"/>
  <c r="A52" i="1"/>
  <c r="B52" i="1"/>
  <c r="C52" i="1"/>
  <c r="D52" i="1"/>
  <c r="E52" i="1"/>
  <c r="F52" i="1"/>
  <c r="G52" i="1"/>
  <c r="H52" i="1"/>
  <c r="I52" i="1"/>
  <c r="J52" i="1"/>
  <c r="K52" i="1"/>
  <c r="L52" i="1"/>
  <c r="M52" i="1"/>
  <c r="N52" i="1"/>
  <c r="O52" i="1"/>
  <c r="P52" i="1"/>
  <c r="Q52" i="1"/>
  <c r="A53" i="1"/>
  <c r="B53" i="1"/>
  <c r="C53" i="1"/>
  <c r="E53" i="1"/>
  <c r="F53" i="1"/>
  <c r="G53" i="1"/>
  <c r="H53" i="1"/>
  <c r="I53" i="1"/>
  <c r="J53" i="1"/>
  <c r="K53" i="1"/>
  <c r="L53" i="1"/>
  <c r="M53" i="1"/>
  <c r="N53" i="1"/>
  <c r="O53" i="1"/>
  <c r="P53" i="1"/>
  <c r="Q53" i="1"/>
  <c r="A54" i="1"/>
  <c r="B54" i="1"/>
  <c r="C54" i="1"/>
  <c r="D54" i="1"/>
  <c r="E54" i="1"/>
  <c r="F54" i="1"/>
  <c r="G54" i="1"/>
  <c r="H54" i="1"/>
  <c r="I54" i="1"/>
  <c r="J54" i="1"/>
  <c r="K54" i="1"/>
  <c r="L54" i="1"/>
  <c r="M54" i="1"/>
  <c r="N54" i="1"/>
  <c r="O54" i="1"/>
  <c r="P54" i="1"/>
  <c r="Q54" i="1"/>
  <c r="A55" i="1"/>
  <c r="B55" i="1"/>
  <c r="C55" i="1"/>
  <c r="D55" i="1"/>
  <c r="E55" i="1"/>
  <c r="F55" i="1"/>
  <c r="G55" i="1"/>
  <c r="H55" i="1"/>
  <c r="I55" i="1"/>
  <c r="J55" i="1"/>
  <c r="K55" i="1"/>
  <c r="L55" i="1"/>
  <c r="M55" i="1"/>
  <c r="N55" i="1"/>
  <c r="O55" i="1"/>
  <c r="P55" i="1"/>
  <c r="Q55" i="1"/>
  <c r="A56" i="1"/>
  <c r="B56" i="1"/>
  <c r="C56" i="1"/>
  <c r="E56" i="1"/>
  <c r="F56" i="1"/>
  <c r="G56" i="1"/>
  <c r="H56" i="1"/>
  <c r="I56" i="1"/>
  <c r="J56" i="1"/>
  <c r="K56" i="1"/>
  <c r="L56" i="1"/>
  <c r="M56" i="1"/>
  <c r="N56" i="1"/>
  <c r="O56" i="1"/>
  <c r="P56" i="1"/>
  <c r="Q56" i="1"/>
  <c r="A57" i="1"/>
  <c r="B57" i="1"/>
  <c r="C57" i="1"/>
  <c r="E57" i="1"/>
  <c r="F57" i="1"/>
  <c r="G57" i="1"/>
  <c r="H57" i="1"/>
  <c r="I57" i="1"/>
  <c r="J57" i="1"/>
  <c r="K57" i="1"/>
  <c r="L57" i="1"/>
  <c r="M57" i="1"/>
  <c r="N57" i="1"/>
  <c r="O57" i="1"/>
  <c r="P57" i="1"/>
  <c r="Q57" i="1"/>
  <c r="A58" i="1"/>
  <c r="B58" i="1"/>
  <c r="C58" i="1"/>
  <c r="D58" i="1"/>
  <c r="E58" i="1"/>
  <c r="F58" i="1"/>
  <c r="G58" i="1"/>
  <c r="H58" i="1"/>
  <c r="I58" i="1"/>
  <c r="J58" i="1"/>
  <c r="K58" i="1"/>
  <c r="L58" i="1"/>
  <c r="M58" i="1"/>
  <c r="N58" i="1"/>
  <c r="O58" i="1"/>
  <c r="P58" i="1"/>
  <c r="Q58" i="1"/>
  <c r="A59" i="1"/>
  <c r="B59" i="1"/>
  <c r="C59" i="1"/>
  <c r="D59" i="1"/>
  <c r="E59" i="1"/>
  <c r="F59" i="1"/>
  <c r="G59" i="1"/>
  <c r="H59" i="1"/>
  <c r="I59" i="1"/>
  <c r="J59" i="1"/>
  <c r="K59" i="1"/>
  <c r="L59" i="1"/>
  <c r="M59" i="1"/>
  <c r="N59" i="1"/>
  <c r="O59" i="1"/>
  <c r="P59" i="1"/>
  <c r="Q59" i="1"/>
  <c r="A60" i="1"/>
  <c r="B60" i="1"/>
  <c r="C60" i="1"/>
  <c r="E60" i="1"/>
  <c r="F60" i="1"/>
  <c r="G60" i="1"/>
  <c r="H60" i="1"/>
  <c r="I60" i="1"/>
  <c r="J60" i="1"/>
  <c r="K60" i="1"/>
  <c r="L60" i="1"/>
  <c r="M60" i="1"/>
  <c r="N60" i="1"/>
  <c r="O60" i="1"/>
  <c r="P60" i="1"/>
  <c r="Q60" i="1"/>
  <c r="A61" i="1"/>
  <c r="B61" i="1"/>
  <c r="C61" i="1"/>
  <c r="E61" i="1"/>
  <c r="F61" i="1"/>
  <c r="G61" i="1"/>
  <c r="H61" i="1"/>
  <c r="I61" i="1"/>
  <c r="J61" i="1"/>
  <c r="K61" i="1"/>
  <c r="L61" i="1"/>
  <c r="M61" i="1"/>
  <c r="N61" i="1"/>
  <c r="O61" i="1"/>
  <c r="P61" i="1"/>
  <c r="Q61" i="1"/>
  <c r="A62" i="1"/>
  <c r="B62" i="1"/>
  <c r="C62" i="1"/>
  <c r="E62" i="1"/>
  <c r="F62" i="1"/>
  <c r="G62" i="1"/>
  <c r="H62" i="1"/>
  <c r="I62" i="1"/>
  <c r="J62" i="1"/>
  <c r="K62" i="1"/>
  <c r="L62" i="1"/>
  <c r="M62" i="1"/>
  <c r="N62" i="1"/>
  <c r="O62" i="1"/>
  <c r="P62" i="1"/>
  <c r="Q62" i="1"/>
  <c r="A63" i="1"/>
  <c r="B63" i="1"/>
  <c r="C63" i="1"/>
  <c r="D63" i="1"/>
  <c r="E63" i="1"/>
  <c r="F63" i="1"/>
  <c r="G63" i="1"/>
  <c r="H63" i="1"/>
  <c r="I63" i="1"/>
  <c r="J63" i="1"/>
  <c r="K63" i="1"/>
  <c r="L63" i="1"/>
  <c r="M63" i="1"/>
  <c r="N63" i="1"/>
  <c r="O63" i="1"/>
  <c r="P63" i="1"/>
  <c r="Q63" i="1"/>
  <c r="A64" i="1"/>
  <c r="B64" i="1"/>
  <c r="C64" i="1"/>
  <c r="D64" i="1"/>
  <c r="E64" i="1"/>
  <c r="F64" i="1"/>
  <c r="G64" i="1"/>
  <c r="H64" i="1"/>
  <c r="I64" i="1"/>
  <c r="J64" i="1"/>
  <c r="K64" i="1"/>
  <c r="L64" i="1"/>
  <c r="M64" i="1"/>
  <c r="N64" i="1"/>
  <c r="O64" i="1"/>
  <c r="P64" i="1"/>
  <c r="Q64" i="1"/>
  <c r="A65" i="1"/>
  <c r="B65" i="1"/>
  <c r="C65" i="1"/>
  <c r="D65" i="1"/>
  <c r="E65" i="1"/>
  <c r="F65" i="1"/>
  <c r="G65" i="1"/>
  <c r="H65" i="1"/>
  <c r="I65" i="1"/>
  <c r="J65" i="1"/>
  <c r="K65" i="1"/>
  <c r="L65" i="1"/>
  <c r="M65" i="1"/>
  <c r="N65" i="1"/>
  <c r="O65" i="1"/>
  <c r="P65" i="1"/>
  <c r="Q65" i="1"/>
  <c r="A66" i="1"/>
  <c r="B66" i="1"/>
  <c r="C66" i="1"/>
  <c r="D66" i="1"/>
  <c r="E66" i="1"/>
  <c r="F66" i="1"/>
  <c r="G66" i="1"/>
  <c r="H66" i="1"/>
  <c r="I66" i="1"/>
  <c r="J66" i="1"/>
  <c r="K66" i="1"/>
  <c r="L66" i="1"/>
  <c r="M66" i="1"/>
  <c r="N66" i="1"/>
  <c r="O66" i="1"/>
  <c r="P66" i="1"/>
  <c r="Q66" i="1"/>
  <c r="A67" i="1"/>
  <c r="B67" i="1"/>
  <c r="C67" i="1"/>
  <c r="D67" i="1"/>
  <c r="E67" i="1"/>
  <c r="F67" i="1"/>
  <c r="G67" i="1"/>
  <c r="H67" i="1"/>
  <c r="I67" i="1"/>
  <c r="J67" i="1"/>
  <c r="K67" i="1"/>
  <c r="L67" i="1"/>
  <c r="M67" i="1"/>
  <c r="N67" i="1"/>
  <c r="O67" i="1"/>
  <c r="P67" i="1"/>
  <c r="Q67" i="1"/>
  <c r="A68" i="1"/>
  <c r="B68" i="1"/>
  <c r="C68" i="1"/>
  <c r="E68" i="1"/>
  <c r="F68" i="1"/>
  <c r="G68" i="1"/>
  <c r="H68" i="1"/>
  <c r="I68" i="1"/>
  <c r="J68" i="1"/>
  <c r="K68" i="1"/>
  <c r="L68" i="1"/>
  <c r="M68" i="1"/>
  <c r="N68" i="1"/>
  <c r="O68" i="1"/>
  <c r="P68" i="1"/>
  <c r="Q68" i="1"/>
  <c r="A69" i="1"/>
  <c r="B69" i="1"/>
  <c r="C69" i="1"/>
  <c r="E69" i="1"/>
  <c r="F69" i="1"/>
  <c r="G69" i="1"/>
  <c r="H69" i="1"/>
  <c r="I69" i="1"/>
  <c r="J69" i="1"/>
  <c r="K69" i="1"/>
  <c r="L69" i="1"/>
  <c r="M69" i="1"/>
  <c r="N69" i="1"/>
  <c r="O69" i="1"/>
  <c r="P69" i="1"/>
  <c r="Q69" i="1"/>
  <c r="A70" i="1"/>
  <c r="B70" i="1"/>
  <c r="C70" i="1"/>
  <c r="E70" i="1"/>
  <c r="F70" i="1"/>
  <c r="G70" i="1"/>
  <c r="H70" i="1"/>
  <c r="I70" i="1"/>
  <c r="J70" i="1"/>
  <c r="K70" i="1"/>
  <c r="L70" i="1"/>
  <c r="M70" i="1"/>
  <c r="N70" i="1"/>
  <c r="O70" i="1"/>
  <c r="P70" i="1"/>
  <c r="Q70" i="1"/>
  <c r="A71" i="1"/>
  <c r="B71" i="1"/>
  <c r="C71" i="1"/>
  <c r="E71" i="1"/>
  <c r="F71" i="1"/>
  <c r="G71" i="1"/>
  <c r="H71" i="1"/>
  <c r="I71" i="1"/>
  <c r="J71" i="1"/>
  <c r="K71" i="1"/>
  <c r="L71" i="1"/>
  <c r="M71" i="1"/>
  <c r="N71" i="1"/>
  <c r="O71" i="1"/>
  <c r="P71" i="1"/>
  <c r="Q71" i="1"/>
  <c r="A72" i="1"/>
  <c r="B72" i="1"/>
  <c r="C72" i="1"/>
  <c r="E72" i="1"/>
  <c r="F72" i="1"/>
  <c r="G72" i="1"/>
  <c r="H72" i="1"/>
  <c r="I72" i="1"/>
  <c r="J72" i="1"/>
  <c r="K72" i="1"/>
  <c r="L72" i="1"/>
  <c r="M72" i="1"/>
  <c r="N72" i="1"/>
  <c r="O72" i="1"/>
  <c r="P72" i="1"/>
  <c r="Q72" i="1"/>
  <c r="A73" i="1"/>
  <c r="B73" i="1"/>
  <c r="C73" i="1"/>
  <c r="D73" i="1"/>
  <c r="E73" i="1"/>
  <c r="F73" i="1"/>
  <c r="G73" i="1"/>
  <c r="H73" i="1"/>
  <c r="I73" i="1"/>
  <c r="J73" i="1"/>
  <c r="K73" i="1"/>
  <c r="L73" i="1"/>
  <c r="M73" i="1"/>
  <c r="N73" i="1"/>
  <c r="O73" i="1"/>
  <c r="P73" i="1"/>
  <c r="Q73" i="1"/>
  <c r="A74" i="1"/>
  <c r="B74" i="1"/>
  <c r="C74" i="1"/>
  <c r="E74" i="1"/>
  <c r="F74" i="1"/>
  <c r="G74" i="1"/>
  <c r="H74" i="1"/>
  <c r="I74" i="1"/>
  <c r="J74" i="1"/>
  <c r="K74" i="1"/>
  <c r="L74" i="1"/>
  <c r="M74" i="1"/>
  <c r="N74" i="1"/>
  <c r="O74" i="1"/>
  <c r="P74" i="1"/>
  <c r="Q74" i="1"/>
  <c r="A75" i="1"/>
  <c r="B75" i="1"/>
  <c r="C75" i="1"/>
  <c r="D75" i="1"/>
  <c r="E75" i="1"/>
  <c r="F75" i="1"/>
  <c r="G75" i="1"/>
  <c r="H75" i="1"/>
  <c r="I75" i="1"/>
  <c r="J75" i="1"/>
  <c r="K75" i="1"/>
  <c r="L75" i="1"/>
  <c r="M75" i="1"/>
  <c r="N75" i="1"/>
  <c r="O75" i="1"/>
  <c r="P75" i="1"/>
  <c r="Q75" i="1"/>
  <c r="A76" i="1"/>
  <c r="B76" i="1"/>
  <c r="C76" i="1"/>
  <c r="D76" i="1"/>
  <c r="E76" i="1"/>
  <c r="F76" i="1"/>
  <c r="G76" i="1"/>
  <c r="H76" i="1"/>
  <c r="I76" i="1"/>
  <c r="J76" i="1"/>
  <c r="K76" i="1"/>
  <c r="L76" i="1"/>
  <c r="M76" i="1"/>
  <c r="N76" i="1"/>
  <c r="O76" i="1"/>
  <c r="P76" i="1"/>
  <c r="Q76" i="1"/>
  <c r="A77" i="1"/>
  <c r="B77" i="1"/>
  <c r="C77" i="1"/>
  <c r="D77" i="1"/>
  <c r="E77" i="1"/>
  <c r="F77" i="1"/>
  <c r="G77" i="1"/>
  <c r="H77" i="1"/>
  <c r="I77" i="1"/>
  <c r="J77" i="1"/>
  <c r="K77" i="1"/>
  <c r="L77" i="1"/>
  <c r="M77" i="1"/>
  <c r="N77" i="1"/>
  <c r="O77" i="1"/>
  <c r="P77" i="1"/>
  <c r="Q77" i="1"/>
  <c r="A78" i="1"/>
  <c r="B78" i="1"/>
  <c r="C78" i="1"/>
  <c r="D78" i="1"/>
  <c r="E78" i="1"/>
  <c r="F78" i="1"/>
  <c r="G78" i="1"/>
  <c r="H78" i="1"/>
  <c r="I78" i="1"/>
  <c r="J78" i="1"/>
  <c r="K78" i="1"/>
  <c r="L78" i="1"/>
  <c r="M78" i="1"/>
  <c r="N78" i="1"/>
  <c r="O78" i="1"/>
  <c r="P78" i="1"/>
  <c r="Q78" i="1"/>
  <c r="A79" i="1"/>
  <c r="B79" i="1"/>
  <c r="C79" i="1"/>
  <c r="D79" i="1"/>
  <c r="E79" i="1"/>
  <c r="F79" i="1"/>
  <c r="G79" i="1"/>
  <c r="H79" i="1"/>
  <c r="I79" i="1"/>
  <c r="J79" i="1"/>
  <c r="K79" i="1"/>
  <c r="L79" i="1"/>
  <c r="M79" i="1"/>
  <c r="N79" i="1"/>
  <c r="O79" i="1"/>
  <c r="P79" i="1"/>
  <c r="Q79" i="1"/>
  <c r="A80" i="1"/>
  <c r="B80" i="1"/>
  <c r="C80" i="1"/>
  <c r="D80" i="1"/>
  <c r="E80" i="1"/>
  <c r="F80" i="1"/>
  <c r="G80" i="1"/>
  <c r="H80" i="1"/>
  <c r="I80" i="1"/>
  <c r="J80" i="1"/>
  <c r="K80" i="1"/>
  <c r="L80" i="1"/>
  <c r="M80" i="1"/>
  <c r="N80" i="1"/>
  <c r="O80" i="1"/>
  <c r="P80" i="1"/>
  <c r="Q80" i="1"/>
  <c r="A81" i="1"/>
  <c r="B81" i="1"/>
  <c r="C81" i="1"/>
  <c r="D81" i="1"/>
  <c r="E81" i="1"/>
  <c r="F81" i="1"/>
  <c r="G81" i="1"/>
  <c r="H81" i="1"/>
  <c r="I81" i="1"/>
  <c r="J81" i="1"/>
  <c r="K81" i="1"/>
  <c r="L81" i="1"/>
  <c r="M81" i="1"/>
  <c r="N81" i="1"/>
  <c r="O81" i="1"/>
  <c r="P81" i="1"/>
  <c r="Q81" i="1"/>
  <c r="A82" i="1"/>
  <c r="B82" i="1"/>
  <c r="C82" i="1"/>
  <c r="D82" i="1"/>
  <c r="E82" i="1"/>
  <c r="F82" i="1"/>
  <c r="G82" i="1"/>
  <c r="H82" i="1"/>
  <c r="I82" i="1"/>
  <c r="J82" i="1"/>
  <c r="K82" i="1"/>
  <c r="L82" i="1"/>
  <c r="M82" i="1"/>
  <c r="N82" i="1"/>
  <c r="O82" i="1"/>
  <c r="P82" i="1"/>
  <c r="Q82" i="1"/>
  <c r="A83" i="1"/>
  <c r="B83" i="1"/>
  <c r="C83" i="1"/>
  <c r="D83" i="1"/>
  <c r="E83" i="1"/>
  <c r="F83" i="1"/>
  <c r="G83" i="1"/>
  <c r="H83" i="1"/>
  <c r="I83" i="1"/>
  <c r="J83" i="1"/>
  <c r="K83" i="1"/>
  <c r="L83" i="1"/>
  <c r="M83" i="1"/>
  <c r="N83" i="1"/>
  <c r="O83" i="1"/>
  <c r="P83" i="1"/>
  <c r="Q83" i="1"/>
  <c r="A84" i="1"/>
  <c r="B84" i="1"/>
  <c r="C84" i="1"/>
  <c r="D84" i="1"/>
  <c r="E84" i="1"/>
  <c r="F84" i="1"/>
  <c r="G84" i="1"/>
  <c r="H84" i="1"/>
  <c r="I84" i="1"/>
  <c r="J84" i="1"/>
  <c r="K84" i="1"/>
  <c r="L84" i="1"/>
  <c r="M84" i="1"/>
  <c r="N84" i="1"/>
  <c r="O84" i="1"/>
  <c r="P84" i="1"/>
  <c r="Q84" i="1"/>
  <c r="A85" i="1"/>
  <c r="B85" i="1"/>
  <c r="C85" i="1"/>
  <c r="E85" i="1"/>
  <c r="F85" i="1"/>
  <c r="G85" i="1"/>
  <c r="H85" i="1"/>
  <c r="I85" i="1"/>
  <c r="J85" i="1"/>
  <c r="K85" i="1"/>
  <c r="L85" i="1"/>
  <c r="M85" i="1"/>
  <c r="N85" i="1"/>
  <c r="O85" i="1"/>
  <c r="P85" i="1"/>
  <c r="Q85" i="1"/>
  <c r="A86" i="1"/>
  <c r="B86" i="1"/>
  <c r="C86" i="1"/>
  <c r="D86" i="1"/>
  <c r="E86" i="1"/>
  <c r="F86" i="1"/>
  <c r="G86" i="1"/>
  <c r="H86" i="1"/>
  <c r="I86" i="1"/>
  <c r="J86" i="1"/>
  <c r="K86" i="1"/>
  <c r="L86" i="1"/>
  <c r="M86" i="1"/>
  <c r="N86" i="1"/>
  <c r="O86" i="1"/>
  <c r="P86" i="1"/>
  <c r="Q86" i="1"/>
  <c r="A87" i="1"/>
  <c r="B87" i="1"/>
  <c r="C87" i="1"/>
  <c r="D87" i="1"/>
  <c r="E87" i="1"/>
  <c r="F87" i="1"/>
  <c r="G87" i="1"/>
  <c r="H87" i="1"/>
  <c r="I87" i="1"/>
  <c r="J87" i="1"/>
  <c r="K87" i="1"/>
  <c r="L87" i="1"/>
  <c r="M87" i="1"/>
  <c r="N87" i="1"/>
  <c r="O87" i="1"/>
  <c r="P87" i="1"/>
  <c r="Q87" i="1"/>
  <c r="A88" i="1"/>
  <c r="B88" i="1"/>
  <c r="C88" i="1"/>
  <c r="D88" i="1"/>
  <c r="E88" i="1"/>
  <c r="F88" i="1"/>
  <c r="G88" i="1"/>
  <c r="H88" i="1"/>
  <c r="I88" i="1"/>
  <c r="J88" i="1"/>
  <c r="K88" i="1"/>
  <c r="L88" i="1"/>
  <c r="M88" i="1"/>
  <c r="N88" i="1"/>
  <c r="O88" i="1"/>
  <c r="P88" i="1"/>
  <c r="Q88" i="1"/>
  <c r="A89" i="1"/>
  <c r="B89" i="1"/>
  <c r="C89" i="1"/>
  <c r="E89" i="1"/>
  <c r="F89" i="1"/>
  <c r="G89" i="1"/>
  <c r="H89" i="1"/>
  <c r="I89" i="1"/>
  <c r="J89" i="1"/>
  <c r="K89" i="1"/>
  <c r="L89" i="1"/>
  <c r="M89" i="1"/>
  <c r="N89" i="1"/>
  <c r="O89" i="1"/>
  <c r="P89" i="1"/>
  <c r="Q89" i="1"/>
  <c r="A90" i="1"/>
  <c r="B90" i="1"/>
  <c r="C90" i="1"/>
  <c r="D90" i="1"/>
  <c r="E90" i="1"/>
  <c r="F90" i="1"/>
  <c r="G90" i="1"/>
  <c r="H90" i="1"/>
  <c r="I90" i="1"/>
  <c r="J90" i="1"/>
  <c r="K90" i="1"/>
  <c r="L90" i="1"/>
  <c r="M90" i="1"/>
  <c r="N90" i="1"/>
  <c r="O90" i="1"/>
  <c r="P90" i="1"/>
  <c r="Q90" i="1"/>
  <c r="A91" i="1"/>
  <c r="B91" i="1"/>
  <c r="C91" i="1"/>
  <c r="D91" i="1"/>
  <c r="E91" i="1"/>
  <c r="F91" i="1"/>
  <c r="G91" i="1"/>
  <c r="H91" i="1"/>
  <c r="I91" i="1"/>
  <c r="J91" i="1"/>
  <c r="K91" i="1"/>
  <c r="L91" i="1"/>
  <c r="M91" i="1"/>
  <c r="N91" i="1"/>
  <c r="O91" i="1"/>
  <c r="P91" i="1"/>
  <c r="Q91" i="1"/>
  <c r="A92" i="1"/>
  <c r="B92" i="1"/>
  <c r="C92" i="1"/>
  <c r="D92" i="1"/>
  <c r="E92" i="1"/>
  <c r="F92" i="1"/>
  <c r="G92" i="1"/>
  <c r="H92" i="1"/>
  <c r="I92" i="1"/>
  <c r="J92" i="1"/>
  <c r="K92" i="1"/>
  <c r="L92" i="1"/>
  <c r="M92" i="1"/>
  <c r="N92" i="1"/>
  <c r="O92" i="1"/>
  <c r="P92" i="1"/>
  <c r="Q92" i="1"/>
  <c r="A93" i="1"/>
  <c r="B93" i="1"/>
  <c r="C93" i="1"/>
  <c r="D93" i="1"/>
  <c r="E93" i="1"/>
  <c r="F93" i="1"/>
  <c r="G93" i="1"/>
  <c r="H93" i="1"/>
  <c r="I93" i="1"/>
  <c r="J93" i="1"/>
  <c r="K93" i="1"/>
  <c r="L93" i="1"/>
  <c r="M93" i="1"/>
  <c r="N93" i="1"/>
  <c r="O93" i="1"/>
  <c r="P93" i="1"/>
  <c r="Q93" i="1"/>
  <c r="A94" i="1"/>
  <c r="B94" i="1"/>
  <c r="C94" i="1"/>
  <c r="D94" i="1"/>
  <c r="E94" i="1"/>
  <c r="F94" i="1"/>
  <c r="G94" i="1"/>
  <c r="H94" i="1"/>
  <c r="I94" i="1"/>
  <c r="J94" i="1"/>
  <c r="K94" i="1"/>
  <c r="L94" i="1"/>
  <c r="M94" i="1"/>
  <c r="N94" i="1"/>
  <c r="O94" i="1"/>
  <c r="P94" i="1"/>
  <c r="Q94" i="1"/>
  <c r="A95" i="1"/>
  <c r="B95" i="1"/>
  <c r="C95" i="1"/>
  <c r="D95" i="1"/>
  <c r="E95" i="1"/>
  <c r="F95" i="1"/>
  <c r="G95" i="1"/>
  <c r="H95" i="1"/>
  <c r="I95" i="1"/>
  <c r="J95" i="1"/>
  <c r="K95" i="1"/>
  <c r="L95" i="1"/>
  <c r="M95" i="1"/>
  <c r="N95" i="1"/>
  <c r="O95" i="1"/>
  <c r="P95" i="1"/>
  <c r="Q95" i="1"/>
  <c r="A96" i="1"/>
  <c r="B96" i="1"/>
  <c r="C96" i="1"/>
  <c r="D96" i="1"/>
  <c r="E96" i="1"/>
  <c r="F96" i="1"/>
  <c r="G96" i="1"/>
  <c r="H96" i="1"/>
  <c r="I96" i="1"/>
  <c r="J96" i="1"/>
  <c r="K96" i="1"/>
  <c r="L96" i="1"/>
  <c r="M96" i="1"/>
  <c r="N96" i="1"/>
  <c r="O96" i="1"/>
  <c r="P96" i="1"/>
  <c r="Q96" i="1"/>
  <c r="A97" i="1"/>
  <c r="B97" i="1"/>
  <c r="C97" i="1"/>
  <c r="D97" i="1"/>
  <c r="E97" i="1"/>
  <c r="F97" i="1"/>
  <c r="G97" i="1"/>
  <c r="H97" i="1"/>
  <c r="I97" i="1"/>
  <c r="J97" i="1"/>
  <c r="K97" i="1"/>
  <c r="L97" i="1"/>
  <c r="M97" i="1"/>
  <c r="N97" i="1"/>
  <c r="O97" i="1"/>
  <c r="P97" i="1"/>
  <c r="Q97" i="1"/>
  <c r="A98" i="1"/>
  <c r="B98" i="1"/>
  <c r="C98" i="1"/>
  <c r="D98" i="1"/>
  <c r="E98" i="1"/>
  <c r="F98" i="1"/>
  <c r="G98" i="1"/>
  <c r="H98" i="1"/>
  <c r="I98" i="1"/>
  <c r="J98" i="1"/>
  <c r="K98" i="1"/>
  <c r="L98" i="1"/>
  <c r="M98" i="1"/>
  <c r="N98" i="1"/>
  <c r="O98" i="1"/>
  <c r="P98" i="1"/>
  <c r="Q98" i="1"/>
  <c r="A99" i="1"/>
  <c r="B99" i="1"/>
  <c r="C99" i="1"/>
  <c r="D99" i="1"/>
  <c r="E99" i="1"/>
  <c r="F99" i="1"/>
  <c r="G99" i="1"/>
  <c r="H99" i="1"/>
  <c r="I99" i="1"/>
  <c r="J99" i="1"/>
  <c r="K99" i="1"/>
  <c r="L99" i="1"/>
  <c r="M99" i="1"/>
  <c r="N99" i="1"/>
  <c r="O99" i="1"/>
  <c r="P99" i="1"/>
  <c r="Q99" i="1"/>
  <c r="A100" i="1"/>
  <c r="B100" i="1"/>
  <c r="C100" i="1"/>
  <c r="D100" i="1"/>
  <c r="E100" i="1"/>
  <c r="F100" i="1"/>
  <c r="G100" i="1"/>
  <c r="H100" i="1"/>
  <c r="I100" i="1"/>
  <c r="J100" i="1"/>
  <c r="K100" i="1"/>
  <c r="L100" i="1"/>
  <c r="M100" i="1"/>
  <c r="N100" i="1"/>
  <c r="O100" i="1"/>
  <c r="P100" i="1"/>
  <c r="Q100" i="1"/>
  <c r="A101" i="1"/>
  <c r="B101" i="1"/>
  <c r="C101" i="1"/>
  <c r="D101" i="1"/>
  <c r="E101" i="1"/>
  <c r="F101" i="1"/>
  <c r="G101" i="1"/>
  <c r="H101" i="1"/>
  <c r="I101" i="1"/>
  <c r="J101" i="1"/>
  <c r="K101" i="1"/>
  <c r="L101" i="1"/>
  <c r="M101" i="1"/>
  <c r="N101" i="1"/>
  <c r="O101" i="1"/>
  <c r="P101" i="1"/>
  <c r="Q101" i="1"/>
  <c r="A102" i="1"/>
  <c r="B102" i="1"/>
  <c r="C102" i="1"/>
  <c r="D102" i="1"/>
  <c r="E102" i="1"/>
  <c r="F102" i="1"/>
  <c r="G102" i="1"/>
  <c r="H102" i="1"/>
  <c r="I102" i="1"/>
  <c r="J102" i="1"/>
  <c r="K102" i="1"/>
  <c r="L102" i="1"/>
  <c r="M102" i="1"/>
  <c r="N102" i="1"/>
  <c r="O102" i="1"/>
  <c r="P102" i="1"/>
  <c r="Q102" i="1"/>
  <c r="A103" i="1"/>
  <c r="B103" i="1"/>
  <c r="C103" i="1"/>
  <c r="D103" i="1"/>
  <c r="E103" i="1"/>
  <c r="F103" i="1"/>
  <c r="G103" i="1"/>
  <c r="H103" i="1"/>
  <c r="I103" i="1"/>
  <c r="J103" i="1"/>
  <c r="K103" i="1"/>
  <c r="L103" i="1"/>
  <c r="M103" i="1"/>
  <c r="N103" i="1"/>
  <c r="O103" i="1"/>
  <c r="P103" i="1"/>
  <c r="Q103" i="1"/>
  <c r="A104" i="1"/>
  <c r="B104" i="1"/>
  <c r="C104" i="1"/>
  <c r="D104" i="1"/>
  <c r="E104" i="1"/>
  <c r="F104" i="1"/>
  <c r="G104" i="1"/>
  <c r="H104" i="1"/>
  <c r="I104" i="1"/>
  <c r="J104" i="1"/>
  <c r="K104" i="1"/>
  <c r="L104" i="1"/>
  <c r="M104" i="1"/>
  <c r="N104" i="1"/>
  <c r="O104" i="1"/>
  <c r="P104" i="1"/>
  <c r="Q104" i="1"/>
  <c r="A105" i="1"/>
  <c r="B105" i="1"/>
  <c r="C105" i="1"/>
  <c r="D105" i="1"/>
  <c r="E105" i="1"/>
  <c r="F105" i="1"/>
  <c r="G105" i="1"/>
  <c r="H105" i="1"/>
  <c r="I105" i="1"/>
  <c r="J105" i="1"/>
  <c r="K105" i="1"/>
  <c r="L105" i="1"/>
  <c r="M105" i="1"/>
  <c r="N105" i="1"/>
  <c r="O105" i="1"/>
  <c r="P105" i="1"/>
  <c r="Q105" i="1"/>
  <c r="A106" i="1"/>
  <c r="B106" i="1"/>
  <c r="C106" i="1"/>
  <c r="D106" i="1"/>
  <c r="E106" i="1"/>
  <c r="F106" i="1"/>
  <c r="G106" i="1"/>
  <c r="H106" i="1"/>
  <c r="I106" i="1"/>
  <c r="J106" i="1"/>
  <c r="K106" i="1"/>
  <c r="L106" i="1"/>
  <c r="M106" i="1"/>
  <c r="N106" i="1"/>
  <c r="O106" i="1"/>
  <c r="P106" i="1"/>
  <c r="Q106" i="1"/>
  <c r="A107" i="1"/>
  <c r="B107" i="1"/>
  <c r="C107" i="1"/>
  <c r="D107" i="1"/>
  <c r="E107" i="1"/>
  <c r="F107" i="1"/>
  <c r="G107" i="1"/>
  <c r="H107" i="1"/>
  <c r="I107" i="1"/>
  <c r="J107" i="1"/>
  <c r="K107" i="1"/>
  <c r="L107" i="1"/>
  <c r="M107" i="1"/>
  <c r="N107" i="1"/>
  <c r="O107" i="1"/>
  <c r="P107" i="1"/>
  <c r="Q107" i="1"/>
  <c r="A108" i="1"/>
  <c r="B108" i="1"/>
  <c r="C108" i="1"/>
  <c r="D108" i="1"/>
  <c r="E108" i="1"/>
  <c r="F108" i="1"/>
  <c r="G108" i="1"/>
  <c r="H108" i="1"/>
  <c r="I108" i="1"/>
  <c r="J108" i="1"/>
  <c r="K108" i="1"/>
  <c r="L108" i="1"/>
  <c r="M108" i="1"/>
  <c r="N108" i="1"/>
  <c r="O108" i="1"/>
  <c r="P108" i="1"/>
  <c r="Q108" i="1"/>
  <c r="A109" i="1"/>
  <c r="B109" i="1"/>
  <c r="C109" i="1"/>
  <c r="D109" i="1"/>
  <c r="E109" i="1"/>
  <c r="F109" i="1"/>
  <c r="G109" i="1"/>
  <c r="H109" i="1"/>
  <c r="I109" i="1"/>
  <c r="J109" i="1"/>
  <c r="K109" i="1"/>
  <c r="L109" i="1"/>
  <c r="M109" i="1"/>
  <c r="N109" i="1"/>
  <c r="O109" i="1"/>
  <c r="P109" i="1"/>
  <c r="Q109" i="1"/>
  <c r="A110" i="1"/>
  <c r="B110" i="1"/>
  <c r="C110" i="1"/>
  <c r="D110" i="1"/>
  <c r="E110" i="1"/>
  <c r="F110" i="1"/>
  <c r="G110" i="1"/>
  <c r="H110" i="1"/>
  <c r="I110" i="1"/>
  <c r="J110" i="1"/>
  <c r="K110" i="1"/>
  <c r="L110" i="1"/>
  <c r="M110" i="1"/>
  <c r="N110" i="1"/>
  <c r="O110" i="1"/>
  <c r="P110" i="1"/>
  <c r="Q110" i="1"/>
  <c r="A111" i="1"/>
  <c r="B111" i="1"/>
  <c r="C111" i="1"/>
  <c r="E111" i="1"/>
  <c r="F111" i="1"/>
  <c r="G111" i="1"/>
  <c r="H111" i="1"/>
  <c r="I111" i="1"/>
  <c r="J111" i="1"/>
  <c r="K111" i="1"/>
  <c r="L111" i="1"/>
  <c r="M111" i="1"/>
  <c r="N111" i="1"/>
  <c r="O111" i="1"/>
  <c r="P111" i="1"/>
  <c r="Q111" i="1"/>
  <c r="A112" i="1"/>
  <c r="B112" i="1"/>
  <c r="C112" i="1"/>
  <c r="D112" i="1"/>
  <c r="E112" i="1"/>
  <c r="F112" i="1"/>
  <c r="G112" i="1"/>
  <c r="H112" i="1"/>
  <c r="I112" i="1"/>
  <c r="J112" i="1"/>
  <c r="K112" i="1"/>
  <c r="L112" i="1"/>
  <c r="M112" i="1"/>
  <c r="N112" i="1"/>
  <c r="O112" i="1"/>
  <c r="P112" i="1"/>
  <c r="Q112" i="1"/>
  <c r="A113" i="1"/>
  <c r="B113" i="1"/>
  <c r="C113" i="1"/>
  <c r="E113" i="1"/>
  <c r="F113" i="1"/>
  <c r="G113" i="1"/>
  <c r="H113" i="1"/>
  <c r="I113" i="1"/>
  <c r="J113" i="1"/>
  <c r="K113" i="1"/>
  <c r="L113" i="1"/>
  <c r="M113" i="1"/>
  <c r="N113" i="1"/>
  <c r="O113" i="1"/>
  <c r="P113" i="1"/>
  <c r="Q113" i="1"/>
  <c r="A114" i="1"/>
  <c r="B114" i="1"/>
  <c r="C114" i="1"/>
  <c r="D114" i="1"/>
  <c r="E114" i="1"/>
  <c r="F114" i="1"/>
  <c r="G114" i="1"/>
  <c r="H114" i="1"/>
  <c r="I114" i="1"/>
  <c r="J114" i="1"/>
  <c r="K114" i="1"/>
  <c r="L114" i="1"/>
  <c r="M114" i="1"/>
  <c r="N114" i="1"/>
  <c r="O114" i="1"/>
  <c r="P114" i="1"/>
  <c r="Q114" i="1"/>
  <c r="A115" i="1"/>
  <c r="B115" i="1"/>
  <c r="C115" i="1"/>
  <c r="D115" i="1"/>
  <c r="E115" i="1"/>
  <c r="F115" i="1"/>
  <c r="G115" i="1"/>
  <c r="H115" i="1"/>
  <c r="I115" i="1"/>
  <c r="J115" i="1"/>
  <c r="K115" i="1"/>
  <c r="L115" i="1"/>
  <c r="M115" i="1"/>
  <c r="N115" i="1"/>
  <c r="O115" i="1"/>
  <c r="P115" i="1"/>
  <c r="Q115" i="1"/>
  <c r="A116" i="1"/>
  <c r="B116" i="1"/>
  <c r="C116" i="1"/>
  <c r="D116" i="1"/>
  <c r="E116" i="1"/>
  <c r="F116" i="1"/>
  <c r="G116" i="1"/>
  <c r="H116" i="1"/>
  <c r="I116" i="1"/>
  <c r="J116" i="1"/>
  <c r="K116" i="1"/>
  <c r="L116" i="1"/>
  <c r="M116" i="1"/>
  <c r="N116" i="1"/>
  <c r="O116" i="1"/>
  <c r="P116" i="1"/>
  <c r="Q116" i="1"/>
  <c r="A117" i="1"/>
  <c r="B117" i="1"/>
  <c r="C117" i="1"/>
  <c r="D117" i="1"/>
  <c r="E117" i="1"/>
  <c r="F117" i="1"/>
  <c r="G117" i="1"/>
  <c r="H117" i="1"/>
  <c r="I117" i="1"/>
  <c r="J117" i="1"/>
  <c r="K117" i="1"/>
  <c r="L117" i="1"/>
  <c r="M117" i="1"/>
  <c r="N117" i="1"/>
  <c r="O117" i="1"/>
  <c r="P117" i="1"/>
  <c r="Q117" i="1"/>
  <c r="A118" i="1"/>
  <c r="B118" i="1"/>
  <c r="C118" i="1"/>
  <c r="D118" i="1"/>
  <c r="E118" i="1"/>
  <c r="F118" i="1"/>
  <c r="G118" i="1"/>
  <c r="H118" i="1"/>
  <c r="I118" i="1"/>
  <c r="J118" i="1"/>
  <c r="K118" i="1"/>
  <c r="L118" i="1"/>
  <c r="M118" i="1"/>
  <c r="N118" i="1"/>
  <c r="O118" i="1"/>
  <c r="P118" i="1"/>
  <c r="Q118" i="1"/>
  <c r="A119" i="1"/>
  <c r="B119" i="1"/>
  <c r="C119" i="1"/>
  <c r="D119" i="1"/>
  <c r="E119" i="1"/>
  <c r="F119" i="1"/>
  <c r="G119" i="1"/>
  <c r="H119" i="1"/>
  <c r="I119" i="1"/>
  <c r="J119" i="1"/>
  <c r="K119" i="1"/>
  <c r="L119" i="1"/>
  <c r="M119" i="1"/>
  <c r="N119" i="1"/>
  <c r="O119" i="1"/>
  <c r="P119" i="1"/>
  <c r="Q119" i="1"/>
  <c r="A120" i="1"/>
  <c r="B120" i="1"/>
  <c r="C120" i="1"/>
  <c r="E120" i="1"/>
  <c r="F120" i="1"/>
  <c r="G120" i="1"/>
  <c r="H120" i="1"/>
  <c r="I120" i="1"/>
  <c r="J120" i="1"/>
  <c r="K120" i="1"/>
  <c r="L120" i="1"/>
  <c r="M120" i="1"/>
  <c r="N120" i="1"/>
  <c r="O120" i="1"/>
  <c r="P120" i="1"/>
  <c r="Q120" i="1"/>
  <c r="A121" i="1"/>
  <c r="B121" i="1"/>
  <c r="C121" i="1"/>
  <c r="E121" i="1"/>
  <c r="F121" i="1"/>
  <c r="G121" i="1"/>
  <c r="H121" i="1"/>
  <c r="I121" i="1"/>
  <c r="J121" i="1"/>
  <c r="K121" i="1"/>
  <c r="L121" i="1"/>
  <c r="M121" i="1"/>
  <c r="N121" i="1"/>
  <c r="O121" i="1"/>
  <c r="P121" i="1"/>
  <c r="Q121" i="1"/>
  <c r="A122" i="1"/>
  <c r="B122" i="1"/>
  <c r="C122" i="1"/>
  <c r="D122" i="1"/>
  <c r="E122" i="1"/>
  <c r="F122" i="1"/>
  <c r="G122" i="1"/>
  <c r="H122" i="1"/>
  <c r="I122" i="1"/>
  <c r="J122" i="1"/>
  <c r="K122" i="1"/>
  <c r="L122" i="1"/>
  <c r="M122" i="1"/>
  <c r="N122" i="1"/>
  <c r="O122" i="1"/>
  <c r="P122" i="1"/>
  <c r="Q122" i="1"/>
  <c r="A123" i="1"/>
  <c r="B123" i="1"/>
  <c r="C123" i="1"/>
  <c r="D123" i="1"/>
  <c r="E123" i="1"/>
  <c r="F123" i="1"/>
  <c r="G123" i="1"/>
  <c r="H123" i="1"/>
  <c r="I123" i="1"/>
  <c r="J123" i="1"/>
  <c r="K123" i="1"/>
  <c r="L123" i="1"/>
  <c r="M123" i="1"/>
  <c r="N123" i="1"/>
  <c r="O123" i="1"/>
  <c r="P123" i="1"/>
  <c r="Q123" i="1"/>
  <c r="A124" i="1"/>
  <c r="B124" i="1"/>
  <c r="C124" i="1"/>
  <c r="D124" i="1"/>
  <c r="E124" i="1"/>
  <c r="F124" i="1"/>
  <c r="G124" i="1"/>
  <c r="H124" i="1"/>
  <c r="I124" i="1"/>
  <c r="J124" i="1"/>
  <c r="K124" i="1"/>
  <c r="L124" i="1"/>
  <c r="M124" i="1"/>
  <c r="N124" i="1"/>
  <c r="O124" i="1"/>
  <c r="P124" i="1"/>
  <c r="Q124" i="1"/>
  <c r="A125" i="1"/>
  <c r="B125" i="1"/>
  <c r="C125" i="1"/>
  <c r="D125" i="1"/>
  <c r="E125" i="1"/>
  <c r="F125" i="1"/>
  <c r="G125" i="1"/>
  <c r="H125" i="1"/>
  <c r="I125" i="1"/>
  <c r="J125" i="1"/>
  <c r="K125" i="1"/>
  <c r="L125" i="1"/>
  <c r="M125" i="1"/>
  <c r="N125" i="1"/>
  <c r="O125" i="1"/>
  <c r="P125" i="1"/>
  <c r="Q125" i="1"/>
  <c r="A126" i="1"/>
  <c r="B126" i="1"/>
  <c r="C126" i="1"/>
  <c r="D126" i="1"/>
  <c r="E126" i="1"/>
  <c r="F126" i="1"/>
  <c r="G126" i="1"/>
  <c r="H126" i="1"/>
  <c r="I126" i="1"/>
  <c r="J126" i="1"/>
  <c r="K126" i="1"/>
  <c r="L126" i="1"/>
  <c r="M126" i="1"/>
  <c r="N126" i="1"/>
  <c r="O126" i="1"/>
  <c r="P126" i="1"/>
  <c r="Q126" i="1"/>
  <c r="A127" i="1"/>
  <c r="B127" i="1"/>
  <c r="C127" i="1"/>
  <c r="D127" i="1"/>
  <c r="E127" i="1"/>
  <c r="F127" i="1"/>
  <c r="G127" i="1"/>
  <c r="H127" i="1"/>
  <c r="I127" i="1"/>
  <c r="J127" i="1"/>
  <c r="K127" i="1"/>
  <c r="L127" i="1"/>
  <c r="M127" i="1"/>
  <c r="N127" i="1"/>
  <c r="O127" i="1"/>
  <c r="P127" i="1"/>
  <c r="Q127" i="1"/>
  <c r="A128" i="1"/>
  <c r="B128" i="1"/>
  <c r="C128" i="1"/>
  <c r="E128" i="1"/>
  <c r="F128" i="1"/>
  <c r="G128" i="1"/>
  <c r="H128" i="1"/>
  <c r="I128" i="1"/>
  <c r="J128" i="1"/>
  <c r="K128" i="1"/>
  <c r="L128" i="1"/>
  <c r="M128" i="1"/>
  <c r="N128" i="1"/>
  <c r="O128" i="1"/>
  <c r="P128" i="1"/>
  <c r="Q128" i="1"/>
  <c r="A129" i="1"/>
  <c r="B129" i="1"/>
  <c r="C129" i="1"/>
  <c r="D129" i="1"/>
  <c r="E129" i="1"/>
  <c r="F129" i="1"/>
  <c r="G129" i="1"/>
  <c r="H129" i="1"/>
  <c r="I129" i="1"/>
  <c r="J129" i="1"/>
  <c r="K129" i="1"/>
  <c r="L129" i="1"/>
  <c r="M129" i="1"/>
  <c r="N129" i="1"/>
  <c r="O129" i="1"/>
  <c r="P129" i="1"/>
  <c r="Q129" i="1"/>
  <c r="A130" i="1"/>
  <c r="B130" i="1"/>
  <c r="C130" i="1"/>
  <c r="E130" i="1"/>
  <c r="F130" i="1"/>
  <c r="G130" i="1"/>
  <c r="H130" i="1"/>
  <c r="I130" i="1"/>
  <c r="J130" i="1"/>
  <c r="K130" i="1"/>
  <c r="L130" i="1"/>
  <c r="M130" i="1"/>
  <c r="N130" i="1"/>
  <c r="O130" i="1"/>
  <c r="P130" i="1"/>
  <c r="Q130" i="1"/>
  <c r="A131" i="1"/>
  <c r="B131" i="1"/>
  <c r="C131" i="1"/>
  <c r="E131" i="1"/>
  <c r="F131" i="1"/>
  <c r="G131" i="1"/>
  <c r="H131" i="1"/>
  <c r="I131" i="1"/>
  <c r="J131" i="1"/>
  <c r="K131" i="1"/>
  <c r="L131" i="1"/>
  <c r="M131" i="1"/>
  <c r="N131" i="1"/>
  <c r="O131" i="1"/>
  <c r="P131" i="1"/>
  <c r="Q131" i="1"/>
  <c r="A132" i="1"/>
  <c r="B132" i="1"/>
  <c r="C132" i="1"/>
  <c r="D132" i="1"/>
  <c r="E132" i="1"/>
  <c r="F132" i="1"/>
  <c r="G132" i="1"/>
  <c r="H132" i="1"/>
  <c r="I132" i="1"/>
  <c r="J132" i="1"/>
  <c r="K132" i="1"/>
  <c r="L132" i="1"/>
  <c r="M132" i="1"/>
  <c r="N132" i="1"/>
  <c r="O132" i="1"/>
  <c r="P132" i="1"/>
  <c r="Q132" i="1"/>
  <c r="A133" i="1"/>
  <c r="B133" i="1"/>
  <c r="C133" i="1"/>
  <c r="D133" i="1"/>
  <c r="E133" i="1"/>
  <c r="F133" i="1"/>
  <c r="G133" i="1"/>
  <c r="H133" i="1"/>
  <c r="I133" i="1"/>
  <c r="J133" i="1"/>
  <c r="K133" i="1"/>
  <c r="L133" i="1"/>
  <c r="M133" i="1"/>
  <c r="N133" i="1"/>
  <c r="O133" i="1"/>
  <c r="P133" i="1"/>
  <c r="Q133" i="1"/>
  <c r="A134" i="1"/>
  <c r="B134" i="1"/>
  <c r="C134" i="1"/>
  <c r="D134" i="1"/>
  <c r="E134" i="1"/>
  <c r="F134" i="1"/>
  <c r="G134" i="1"/>
  <c r="H134" i="1"/>
  <c r="I134" i="1"/>
  <c r="J134" i="1"/>
  <c r="K134" i="1"/>
  <c r="L134" i="1"/>
  <c r="M134" i="1"/>
  <c r="N134" i="1"/>
  <c r="O134" i="1"/>
  <c r="P134" i="1"/>
  <c r="Q134" i="1"/>
  <c r="A135" i="1"/>
  <c r="B135" i="1"/>
  <c r="C135" i="1"/>
  <c r="D135" i="1"/>
  <c r="E135" i="1"/>
  <c r="F135" i="1"/>
  <c r="G135" i="1"/>
  <c r="H135" i="1"/>
  <c r="I135" i="1"/>
  <c r="J135" i="1"/>
  <c r="K135" i="1"/>
  <c r="L135" i="1"/>
  <c r="M135" i="1"/>
  <c r="N135" i="1"/>
  <c r="O135" i="1"/>
  <c r="P135" i="1"/>
  <c r="Q135" i="1"/>
  <c r="A136" i="1"/>
  <c r="B136" i="1"/>
  <c r="C136" i="1"/>
  <c r="D136" i="1"/>
  <c r="E136" i="1"/>
  <c r="F136" i="1"/>
  <c r="G136" i="1"/>
  <c r="H136" i="1"/>
  <c r="I136" i="1"/>
  <c r="J136" i="1"/>
  <c r="K136" i="1"/>
  <c r="L136" i="1"/>
  <c r="M136" i="1"/>
  <c r="N136" i="1"/>
  <c r="O136" i="1"/>
  <c r="P136" i="1"/>
  <c r="Q136" i="1"/>
  <c r="A137" i="1"/>
  <c r="B137" i="1"/>
  <c r="C137" i="1"/>
  <c r="D137" i="1"/>
  <c r="E137" i="1"/>
  <c r="F137" i="1"/>
  <c r="G137" i="1"/>
  <c r="H137" i="1"/>
  <c r="I137" i="1"/>
  <c r="J137" i="1"/>
  <c r="K137" i="1"/>
  <c r="L137" i="1"/>
  <c r="M137" i="1"/>
  <c r="N137" i="1"/>
  <c r="O137" i="1"/>
  <c r="P137" i="1"/>
  <c r="Q137" i="1"/>
  <c r="A138" i="1"/>
  <c r="B138" i="1"/>
  <c r="C138" i="1"/>
  <c r="D138" i="1"/>
  <c r="E138" i="1"/>
  <c r="F138" i="1"/>
  <c r="G138" i="1"/>
  <c r="H138" i="1"/>
  <c r="I138" i="1"/>
  <c r="J138" i="1"/>
  <c r="K138" i="1"/>
  <c r="L138" i="1"/>
  <c r="M138" i="1"/>
  <c r="N138" i="1"/>
  <c r="O138" i="1"/>
  <c r="P138" i="1"/>
  <c r="Q138" i="1"/>
  <c r="A139" i="1"/>
  <c r="B139" i="1"/>
  <c r="C139" i="1"/>
  <c r="E139" i="1"/>
  <c r="F139" i="1"/>
  <c r="G139" i="1"/>
  <c r="H139" i="1"/>
  <c r="I139" i="1"/>
  <c r="J139" i="1"/>
  <c r="K139" i="1"/>
  <c r="L139" i="1"/>
  <c r="M139" i="1"/>
  <c r="N139" i="1"/>
  <c r="O139" i="1"/>
  <c r="P139" i="1"/>
  <c r="Q139" i="1"/>
  <c r="A140" i="1"/>
  <c r="B140" i="1"/>
  <c r="C140" i="1"/>
  <c r="D140" i="1"/>
  <c r="E140" i="1"/>
  <c r="F140" i="1"/>
  <c r="G140" i="1"/>
  <c r="H140" i="1"/>
  <c r="I140" i="1"/>
  <c r="J140" i="1"/>
  <c r="K140" i="1"/>
  <c r="L140" i="1"/>
  <c r="M140" i="1"/>
  <c r="N140" i="1"/>
  <c r="O140" i="1"/>
  <c r="P140" i="1"/>
  <c r="Q140" i="1"/>
  <c r="A141" i="1"/>
  <c r="B141" i="1"/>
  <c r="C141" i="1"/>
  <c r="D141" i="1"/>
  <c r="E141" i="1"/>
  <c r="F141" i="1"/>
  <c r="G141" i="1"/>
  <c r="H141" i="1"/>
  <c r="I141" i="1"/>
  <c r="J141" i="1"/>
  <c r="K141" i="1"/>
  <c r="L141" i="1"/>
  <c r="M141" i="1"/>
  <c r="N141" i="1"/>
  <c r="O141" i="1"/>
  <c r="P141" i="1"/>
  <c r="Q141" i="1"/>
  <c r="A142" i="1"/>
  <c r="B142" i="1"/>
  <c r="C142" i="1"/>
  <c r="D142" i="1"/>
  <c r="E142" i="1"/>
  <c r="F142" i="1"/>
  <c r="G142" i="1"/>
  <c r="H142" i="1"/>
  <c r="I142" i="1"/>
  <c r="J142" i="1"/>
  <c r="K142" i="1"/>
  <c r="L142" i="1"/>
  <c r="M142" i="1"/>
  <c r="N142" i="1"/>
  <c r="O142" i="1"/>
  <c r="P142" i="1"/>
  <c r="Q142" i="1"/>
  <c r="A143" i="1"/>
  <c r="B143" i="1"/>
  <c r="C143" i="1"/>
  <c r="D143" i="1"/>
  <c r="E143" i="1"/>
  <c r="F143" i="1"/>
  <c r="G143" i="1"/>
  <c r="H143" i="1"/>
  <c r="I143" i="1"/>
  <c r="J143" i="1"/>
  <c r="K143" i="1"/>
  <c r="L143" i="1"/>
  <c r="M143" i="1"/>
  <c r="N143" i="1"/>
  <c r="O143" i="1"/>
  <c r="P143" i="1"/>
  <c r="Q143" i="1"/>
  <c r="A144" i="1"/>
  <c r="B144" i="1"/>
  <c r="C144" i="1"/>
  <c r="D144" i="1"/>
  <c r="E144" i="1"/>
  <c r="F144" i="1"/>
  <c r="G144" i="1"/>
  <c r="H144" i="1"/>
  <c r="I144" i="1"/>
  <c r="J144" i="1"/>
  <c r="K144" i="1"/>
  <c r="L144" i="1"/>
  <c r="M144" i="1"/>
  <c r="N144" i="1"/>
  <c r="O144" i="1"/>
  <c r="P144" i="1"/>
  <c r="Q144" i="1"/>
  <c r="A145" i="1"/>
  <c r="B145" i="1"/>
  <c r="C145" i="1"/>
  <c r="D145" i="1"/>
  <c r="E145" i="1"/>
  <c r="F145" i="1"/>
  <c r="G145" i="1"/>
  <c r="H145" i="1"/>
  <c r="I145" i="1"/>
  <c r="J145" i="1"/>
  <c r="K145" i="1"/>
  <c r="L145" i="1"/>
  <c r="M145" i="1"/>
  <c r="N145" i="1"/>
  <c r="O145" i="1"/>
  <c r="P145" i="1"/>
  <c r="Q145" i="1"/>
  <c r="A146" i="1"/>
  <c r="B146" i="1"/>
  <c r="C146" i="1"/>
  <c r="D146" i="1"/>
  <c r="E146" i="1"/>
  <c r="F146" i="1"/>
  <c r="G146" i="1"/>
  <c r="H146" i="1"/>
  <c r="I146" i="1"/>
  <c r="J146" i="1"/>
  <c r="K146" i="1"/>
  <c r="L146" i="1"/>
  <c r="M146" i="1"/>
  <c r="N146" i="1"/>
  <c r="O146" i="1"/>
  <c r="P146" i="1"/>
  <c r="Q146" i="1"/>
  <c r="A147" i="1"/>
  <c r="B147" i="1"/>
  <c r="C147" i="1"/>
  <c r="D147" i="1"/>
  <c r="E147" i="1"/>
  <c r="F147" i="1"/>
  <c r="G147" i="1"/>
  <c r="H147" i="1"/>
  <c r="I147" i="1"/>
  <c r="J147" i="1"/>
  <c r="K147" i="1"/>
  <c r="L147" i="1"/>
  <c r="M147" i="1"/>
  <c r="N147" i="1"/>
  <c r="O147" i="1"/>
  <c r="P147" i="1"/>
  <c r="Q147" i="1"/>
  <c r="A148" i="1"/>
  <c r="B148" i="1"/>
  <c r="C148" i="1"/>
  <c r="D148" i="1"/>
  <c r="E148" i="1"/>
  <c r="F148" i="1"/>
  <c r="G148" i="1"/>
  <c r="H148" i="1"/>
  <c r="I148" i="1"/>
  <c r="J148" i="1"/>
  <c r="K148" i="1"/>
  <c r="L148" i="1"/>
  <c r="M148" i="1"/>
  <c r="N148" i="1"/>
  <c r="O148" i="1"/>
  <c r="P148" i="1"/>
  <c r="Q148" i="1"/>
  <c r="A149" i="1"/>
  <c r="B149" i="1"/>
  <c r="C149" i="1"/>
  <c r="E149" i="1"/>
  <c r="F149" i="1"/>
  <c r="G149" i="1"/>
  <c r="H149" i="1"/>
  <c r="I149" i="1"/>
  <c r="J149" i="1"/>
  <c r="K149" i="1"/>
  <c r="L149" i="1"/>
  <c r="M149" i="1"/>
  <c r="N149" i="1"/>
  <c r="O149" i="1"/>
  <c r="P149" i="1"/>
  <c r="Q149" i="1"/>
  <c r="A150" i="1"/>
  <c r="B150" i="1"/>
  <c r="C150" i="1"/>
  <c r="D150" i="1"/>
  <c r="E150" i="1"/>
  <c r="F150" i="1"/>
  <c r="G150" i="1"/>
  <c r="H150" i="1"/>
  <c r="I150" i="1"/>
  <c r="J150" i="1"/>
  <c r="K150" i="1"/>
  <c r="L150" i="1"/>
  <c r="M150" i="1"/>
  <c r="N150" i="1"/>
  <c r="O150" i="1"/>
  <c r="P150" i="1"/>
  <c r="Q150" i="1"/>
  <c r="A151" i="1"/>
  <c r="B151" i="1"/>
  <c r="C151" i="1"/>
  <c r="D151" i="1"/>
  <c r="E151" i="1"/>
  <c r="F151" i="1"/>
  <c r="G151" i="1"/>
  <c r="H151" i="1"/>
  <c r="I151" i="1"/>
  <c r="J151" i="1"/>
  <c r="K151" i="1"/>
  <c r="L151" i="1"/>
  <c r="M151" i="1"/>
  <c r="N151" i="1"/>
  <c r="O151" i="1"/>
  <c r="P151" i="1"/>
  <c r="Q151" i="1"/>
  <c r="A152" i="1"/>
  <c r="B152" i="1"/>
  <c r="C152" i="1"/>
  <c r="D152" i="1"/>
  <c r="E152" i="1"/>
  <c r="F152" i="1"/>
  <c r="G152" i="1"/>
  <c r="H152" i="1"/>
  <c r="I152" i="1"/>
  <c r="J152" i="1"/>
  <c r="K152" i="1"/>
  <c r="L152" i="1"/>
  <c r="M152" i="1"/>
  <c r="N152" i="1"/>
  <c r="O152" i="1"/>
  <c r="P152" i="1"/>
  <c r="Q152" i="1"/>
  <c r="A153" i="1"/>
  <c r="B153" i="1"/>
  <c r="C153" i="1"/>
  <c r="D153" i="1"/>
  <c r="E153" i="1"/>
  <c r="F153" i="1"/>
  <c r="G153" i="1"/>
  <c r="H153" i="1"/>
  <c r="I153" i="1"/>
  <c r="J153" i="1"/>
  <c r="K153" i="1"/>
  <c r="L153" i="1"/>
  <c r="M153" i="1"/>
  <c r="N153" i="1"/>
  <c r="O153" i="1"/>
  <c r="P153" i="1"/>
  <c r="Q153" i="1"/>
  <c r="A154" i="1"/>
  <c r="B154" i="1"/>
  <c r="C154" i="1"/>
  <c r="D154" i="1"/>
  <c r="E154" i="1"/>
  <c r="F154" i="1"/>
  <c r="G154" i="1"/>
  <c r="H154" i="1"/>
  <c r="I154" i="1"/>
  <c r="J154" i="1"/>
  <c r="K154" i="1"/>
  <c r="L154" i="1"/>
  <c r="M154" i="1"/>
  <c r="N154" i="1"/>
  <c r="O154" i="1"/>
  <c r="P154" i="1"/>
  <c r="Q154" i="1"/>
  <c r="A155" i="1"/>
  <c r="B155" i="1"/>
  <c r="C155" i="1"/>
  <c r="D155" i="1"/>
  <c r="E155" i="1"/>
  <c r="F155" i="1"/>
  <c r="G155" i="1"/>
  <c r="H155" i="1"/>
  <c r="I155" i="1"/>
  <c r="J155" i="1"/>
  <c r="K155" i="1"/>
  <c r="L155" i="1"/>
  <c r="M155" i="1"/>
  <c r="N155" i="1"/>
  <c r="O155" i="1"/>
  <c r="P155" i="1"/>
  <c r="Q155" i="1"/>
  <c r="A156" i="1"/>
  <c r="B156" i="1"/>
  <c r="C156" i="1"/>
  <c r="D156" i="1"/>
  <c r="E156" i="1"/>
  <c r="F156" i="1"/>
  <c r="G156" i="1"/>
  <c r="H156" i="1"/>
  <c r="I156" i="1"/>
  <c r="J156" i="1"/>
  <c r="K156" i="1"/>
  <c r="L156" i="1"/>
  <c r="M156" i="1"/>
  <c r="N156" i="1"/>
  <c r="O156" i="1"/>
  <c r="P156" i="1"/>
  <c r="Q156" i="1"/>
  <c r="A157" i="1"/>
  <c r="B157" i="1"/>
  <c r="C157" i="1"/>
  <c r="D157" i="1"/>
  <c r="E157" i="1"/>
  <c r="F157" i="1"/>
  <c r="G157" i="1"/>
  <c r="H157" i="1"/>
  <c r="I157" i="1"/>
  <c r="J157" i="1"/>
  <c r="K157" i="1"/>
  <c r="L157" i="1"/>
  <c r="M157" i="1"/>
  <c r="N157" i="1"/>
  <c r="O157" i="1"/>
  <c r="P157" i="1"/>
  <c r="Q157" i="1"/>
  <c r="A158" i="1"/>
  <c r="B158" i="1"/>
  <c r="C158" i="1"/>
  <c r="D158" i="1"/>
  <c r="E158" i="1"/>
  <c r="F158" i="1"/>
  <c r="G158" i="1"/>
  <c r="H158" i="1"/>
  <c r="I158" i="1"/>
  <c r="J158" i="1"/>
  <c r="K158" i="1"/>
  <c r="L158" i="1"/>
  <c r="M158" i="1"/>
  <c r="N158" i="1"/>
  <c r="O158" i="1"/>
  <c r="P158" i="1"/>
  <c r="Q158" i="1"/>
  <c r="A159" i="1"/>
  <c r="B159" i="1"/>
  <c r="C159" i="1"/>
  <c r="D159" i="1"/>
  <c r="E159" i="1"/>
  <c r="F159" i="1"/>
  <c r="G159" i="1"/>
  <c r="H159" i="1"/>
  <c r="I159" i="1"/>
  <c r="J159" i="1"/>
  <c r="K159" i="1"/>
  <c r="L159" i="1"/>
  <c r="M159" i="1"/>
  <c r="N159" i="1"/>
  <c r="O159" i="1"/>
  <c r="P159" i="1"/>
  <c r="Q159" i="1"/>
  <c r="A160" i="1"/>
  <c r="B160" i="1"/>
  <c r="C160" i="1"/>
  <c r="E160" i="1"/>
  <c r="F160" i="1"/>
  <c r="G160" i="1"/>
  <c r="H160" i="1"/>
  <c r="I160" i="1"/>
  <c r="J160" i="1"/>
  <c r="K160" i="1"/>
  <c r="L160" i="1"/>
  <c r="M160" i="1"/>
  <c r="N160" i="1"/>
  <c r="O160" i="1"/>
  <c r="P160" i="1"/>
  <c r="Q160" i="1"/>
  <c r="A161" i="1"/>
  <c r="B161" i="1"/>
  <c r="C161" i="1"/>
  <c r="D161" i="1"/>
  <c r="E161" i="1"/>
  <c r="F161" i="1"/>
  <c r="G161" i="1"/>
  <c r="H161" i="1"/>
  <c r="I161" i="1"/>
  <c r="J161" i="1"/>
  <c r="K161" i="1"/>
  <c r="L161" i="1"/>
  <c r="M161" i="1"/>
  <c r="N161" i="1"/>
  <c r="O161" i="1"/>
  <c r="P161" i="1"/>
  <c r="Q161" i="1"/>
  <c r="A162" i="1"/>
  <c r="B162" i="1"/>
  <c r="C162" i="1"/>
  <c r="E162" i="1"/>
  <c r="F162" i="1"/>
  <c r="G162" i="1"/>
  <c r="H162" i="1"/>
  <c r="I162" i="1"/>
  <c r="J162" i="1"/>
  <c r="K162" i="1"/>
  <c r="L162" i="1"/>
  <c r="M162" i="1"/>
  <c r="N162" i="1"/>
  <c r="O162" i="1"/>
  <c r="P162" i="1"/>
  <c r="Q162" i="1"/>
  <c r="A163" i="1"/>
  <c r="B163" i="1"/>
  <c r="C163" i="1"/>
  <c r="D163" i="1"/>
  <c r="E163" i="1"/>
  <c r="F163" i="1"/>
  <c r="G163" i="1"/>
  <c r="H163" i="1"/>
  <c r="I163" i="1"/>
  <c r="J163" i="1"/>
  <c r="K163" i="1"/>
  <c r="L163" i="1"/>
  <c r="M163" i="1"/>
  <c r="N163" i="1"/>
  <c r="O163" i="1"/>
  <c r="P163" i="1"/>
  <c r="Q163" i="1"/>
  <c r="A164" i="1"/>
  <c r="B164" i="1"/>
  <c r="C164" i="1"/>
  <c r="D164" i="1"/>
  <c r="E164" i="1"/>
  <c r="F164" i="1"/>
  <c r="G164" i="1"/>
  <c r="H164" i="1"/>
  <c r="I164" i="1"/>
  <c r="J164" i="1"/>
  <c r="K164" i="1"/>
  <c r="L164" i="1"/>
  <c r="M164" i="1"/>
  <c r="N164" i="1"/>
  <c r="O164" i="1"/>
  <c r="P164" i="1"/>
  <c r="Q164" i="1"/>
  <c r="A165" i="1"/>
  <c r="B165" i="1"/>
  <c r="C165" i="1"/>
  <c r="E165" i="1"/>
  <c r="F165" i="1"/>
  <c r="G165" i="1"/>
  <c r="H165" i="1"/>
  <c r="I165" i="1"/>
  <c r="J165" i="1"/>
  <c r="K165" i="1"/>
  <c r="L165" i="1"/>
  <c r="M165" i="1"/>
  <c r="N165" i="1"/>
  <c r="O165" i="1"/>
  <c r="P165" i="1"/>
  <c r="Q165" i="1"/>
  <c r="A166" i="1"/>
  <c r="B166" i="1"/>
  <c r="C166" i="1"/>
  <c r="E166" i="1"/>
  <c r="F166" i="1"/>
  <c r="G166" i="1"/>
  <c r="H166" i="1"/>
  <c r="I166" i="1"/>
  <c r="J166" i="1"/>
  <c r="K166" i="1"/>
  <c r="L166" i="1"/>
  <c r="M166" i="1"/>
  <c r="N166" i="1"/>
  <c r="O166" i="1"/>
  <c r="P166" i="1"/>
  <c r="Q166" i="1"/>
  <c r="A167" i="1"/>
  <c r="B167" i="1"/>
  <c r="C167" i="1"/>
  <c r="D167" i="1"/>
  <c r="E167" i="1"/>
  <c r="F167" i="1"/>
  <c r="G167" i="1"/>
  <c r="H167" i="1"/>
  <c r="I167" i="1"/>
  <c r="J167" i="1"/>
  <c r="K167" i="1"/>
  <c r="L167" i="1"/>
  <c r="M167" i="1"/>
  <c r="N167" i="1"/>
  <c r="O167" i="1"/>
  <c r="P167" i="1"/>
  <c r="Q167" i="1"/>
  <c r="A168" i="1"/>
  <c r="B168" i="1"/>
  <c r="C168" i="1"/>
  <c r="D168" i="1"/>
  <c r="E168" i="1"/>
  <c r="F168" i="1"/>
  <c r="G168" i="1"/>
  <c r="H168" i="1"/>
  <c r="I168" i="1"/>
  <c r="J168" i="1"/>
  <c r="K168" i="1"/>
  <c r="L168" i="1"/>
  <c r="M168" i="1"/>
  <c r="N168" i="1"/>
  <c r="O168" i="1"/>
  <c r="P168" i="1"/>
  <c r="Q168" i="1"/>
  <c r="A169" i="1"/>
  <c r="B169" i="1"/>
  <c r="C169" i="1"/>
  <c r="D169" i="1"/>
  <c r="E169" i="1"/>
  <c r="F169" i="1"/>
  <c r="G169" i="1"/>
  <c r="H169" i="1"/>
  <c r="I169" i="1"/>
  <c r="J169" i="1"/>
  <c r="K169" i="1"/>
  <c r="L169" i="1"/>
  <c r="M169" i="1"/>
  <c r="N169" i="1"/>
  <c r="O169" i="1"/>
  <c r="P169" i="1"/>
  <c r="Q169" i="1"/>
  <c r="A170" i="1"/>
  <c r="B170" i="1"/>
  <c r="C170" i="1"/>
  <c r="D170" i="1"/>
  <c r="E170" i="1"/>
  <c r="F170" i="1"/>
  <c r="G170" i="1"/>
  <c r="H170" i="1"/>
  <c r="I170" i="1"/>
  <c r="J170" i="1"/>
  <c r="K170" i="1"/>
  <c r="L170" i="1"/>
  <c r="M170" i="1"/>
  <c r="N170" i="1"/>
  <c r="O170" i="1"/>
  <c r="P170" i="1"/>
  <c r="Q170" i="1"/>
  <c r="A171" i="1"/>
  <c r="B171" i="1"/>
  <c r="C171" i="1"/>
  <c r="D171" i="1"/>
  <c r="E171" i="1"/>
  <c r="F171" i="1"/>
  <c r="G171" i="1"/>
  <c r="H171" i="1"/>
  <c r="I171" i="1"/>
  <c r="J171" i="1"/>
  <c r="K171" i="1"/>
  <c r="L171" i="1"/>
  <c r="M171" i="1"/>
  <c r="N171" i="1"/>
  <c r="O171" i="1"/>
  <c r="P171" i="1"/>
  <c r="Q171" i="1"/>
  <c r="A172" i="1"/>
  <c r="B172" i="1"/>
  <c r="C172" i="1"/>
  <c r="E172" i="1"/>
  <c r="F172" i="1"/>
  <c r="G172" i="1"/>
  <c r="H172" i="1"/>
  <c r="I172" i="1"/>
  <c r="J172" i="1"/>
  <c r="K172" i="1"/>
  <c r="L172" i="1"/>
  <c r="M172" i="1"/>
  <c r="N172" i="1"/>
  <c r="O172" i="1"/>
  <c r="P172" i="1"/>
  <c r="Q172" i="1"/>
  <c r="A173" i="1"/>
  <c r="B173" i="1"/>
  <c r="C173" i="1"/>
  <c r="D173" i="1"/>
  <c r="E173" i="1"/>
  <c r="F173" i="1"/>
  <c r="G173" i="1"/>
  <c r="H173" i="1"/>
  <c r="I173" i="1"/>
  <c r="J173" i="1"/>
  <c r="K173" i="1"/>
  <c r="L173" i="1"/>
  <c r="M173" i="1"/>
  <c r="N173" i="1"/>
  <c r="O173" i="1"/>
  <c r="P173" i="1"/>
  <c r="Q173" i="1"/>
  <c r="A174" i="1"/>
  <c r="B174" i="1"/>
  <c r="C174" i="1"/>
  <c r="D174" i="1"/>
  <c r="E174" i="1"/>
  <c r="F174" i="1"/>
  <c r="G174" i="1"/>
  <c r="H174" i="1"/>
  <c r="I174" i="1"/>
  <c r="J174" i="1"/>
  <c r="K174" i="1"/>
  <c r="L174" i="1"/>
  <c r="M174" i="1"/>
  <c r="N174" i="1"/>
  <c r="O174" i="1"/>
  <c r="P174" i="1"/>
  <c r="Q174" i="1"/>
  <c r="A175" i="1"/>
  <c r="B175" i="1"/>
  <c r="C175" i="1"/>
  <c r="E175" i="1"/>
  <c r="F175" i="1"/>
  <c r="G175" i="1"/>
  <c r="H175" i="1"/>
  <c r="I175" i="1"/>
  <c r="J175" i="1"/>
  <c r="K175" i="1"/>
  <c r="L175" i="1"/>
  <c r="M175" i="1"/>
  <c r="N175" i="1"/>
  <c r="O175" i="1"/>
  <c r="P175" i="1"/>
  <c r="Q175" i="1"/>
  <c r="A176" i="1"/>
  <c r="B176" i="1"/>
  <c r="C176" i="1"/>
  <c r="D176" i="1"/>
  <c r="E176" i="1"/>
  <c r="F176" i="1"/>
  <c r="G176" i="1"/>
  <c r="H176" i="1"/>
  <c r="I176" i="1"/>
  <c r="J176" i="1"/>
  <c r="K176" i="1"/>
  <c r="L176" i="1"/>
  <c r="M176" i="1"/>
  <c r="N176" i="1"/>
  <c r="O176" i="1"/>
  <c r="P176" i="1"/>
  <c r="Q176" i="1"/>
  <c r="A177" i="1"/>
  <c r="B177" i="1"/>
  <c r="C177" i="1"/>
  <c r="E177" i="1"/>
  <c r="F177" i="1"/>
  <c r="G177" i="1"/>
  <c r="H177" i="1"/>
  <c r="I177" i="1"/>
  <c r="J177" i="1"/>
  <c r="K177" i="1"/>
  <c r="L177" i="1"/>
  <c r="M177" i="1"/>
  <c r="N177" i="1"/>
  <c r="O177" i="1"/>
  <c r="P177" i="1"/>
  <c r="Q177" i="1"/>
  <c r="A178" i="1"/>
  <c r="B178" i="1"/>
  <c r="C178" i="1"/>
  <c r="D178" i="1"/>
  <c r="E178" i="1"/>
  <c r="F178" i="1"/>
  <c r="G178" i="1"/>
  <c r="H178" i="1"/>
  <c r="I178" i="1"/>
  <c r="J178" i="1"/>
  <c r="K178" i="1"/>
  <c r="L178" i="1"/>
  <c r="M178" i="1"/>
  <c r="N178" i="1"/>
  <c r="O178" i="1"/>
  <c r="P178" i="1"/>
  <c r="Q178" i="1"/>
  <c r="A179" i="1"/>
  <c r="B179" i="1"/>
  <c r="C179" i="1"/>
  <c r="D179" i="1"/>
  <c r="E179" i="1"/>
  <c r="F179" i="1"/>
  <c r="G179" i="1"/>
  <c r="H179" i="1"/>
  <c r="I179" i="1"/>
  <c r="J179" i="1"/>
  <c r="K179" i="1"/>
  <c r="L179" i="1"/>
  <c r="M179" i="1"/>
  <c r="N179" i="1"/>
  <c r="O179" i="1"/>
  <c r="P179" i="1"/>
  <c r="Q179" i="1"/>
  <c r="A180" i="1"/>
  <c r="B180" i="1"/>
  <c r="C180" i="1"/>
  <c r="E180" i="1"/>
  <c r="F180" i="1"/>
  <c r="G180" i="1"/>
  <c r="H180" i="1"/>
  <c r="I180" i="1"/>
  <c r="J180" i="1"/>
  <c r="K180" i="1"/>
  <c r="L180" i="1"/>
  <c r="M180" i="1"/>
  <c r="N180" i="1"/>
  <c r="O180" i="1"/>
  <c r="P180" i="1"/>
  <c r="Q180" i="1"/>
  <c r="A181" i="1"/>
  <c r="B181" i="1"/>
  <c r="C181" i="1"/>
  <c r="D181" i="1"/>
  <c r="E181" i="1"/>
  <c r="F181" i="1"/>
  <c r="G181" i="1"/>
  <c r="H181" i="1"/>
  <c r="I181" i="1"/>
  <c r="J181" i="1"/>
  <c r="K181" i="1"/>
  <c r="L181" i="1"/>
  <c r="M181" i="1"/>
  <c r="N181" i="1"/>
  <c r="O181" i="1"/>
  <c r="P181" i="1"/>
  <c r="Q181" i="1"/>
  <c r="A182" i="1"/>
  <c r="B182" i="1"/>
  <c r="C182" i="1"/>
  <c r="D182" i="1"/>
  <c r="E182" i="1"/>
  <c r="F182" i="1"/>
  <c r="G182" i="1"/>
  <c r="H182" i="1"/>
  <c r="I182" i="1"/>
  <c r="J182" i="1"/>
  <c r="K182" i="1"/>
  <c r="L182" i="1"/>
  <c r="M182" i="1"/>
  <c r="N182" i="1"/>
  <c r="O182" i="1"/>
  <c r="P182" i="1"/>
  <c r="Q182" i="1"/>
  <c r="A183" i="1"/>
  <c r="B183" i="1"/>
  <c r="C183" i="1"/>
  <c r="D183" i="1"/>
  <c r="E183" i="1"/>
  <c r="F183" i="1"/>
  <c r="G183" i="1"/>
  <c r="H183" i="1"/>
  <c r="I183" i="1"/>
  <c r="J183" i="1"/>
  <c r="K183" i="1"/>
  <c r="L183" i="1"/>
  <c r="M183" i="1"/>
  <c r="N183" i="1"/>
  <c r="O183" i="1"/>
  <c r="P183" i="1"/>
  <c r="Q183" i="1"/>
  <c r="A184" i="1"/>
  <c r="B184" i="1"/>
  <c r="C184" i="1"/>
  <c r="D184" i="1"/>
  <c r="E184" i="1"/>
  <c r="F184" i="1"/>
  <c r="G184" i="1"/>
  <c r="H184" i="1"/>
  <c r="I184" i="1"/>
  <c r="J184" i="1"/>
  <c r="K184" i="1"/>
  <c r="L184" i="1"/>
  <c r="M184" i="1"/>
  <c r="N184" i="1"/>
  <c r="O184" i="1"/>
  <c r="P184" i="1"/>
  <c r="Q184" i="1"/>
  <c r="A185" i="1"/>
  <c r="B185" i="1"/>
  <c r="C185" i="1"/>
  <c r="E185" i="1"/>
  <c r="F185" i="1"/>
  <c r="G185" i="1"/>
  <c r="H185" i="1"/>
  <c r="I185" i="1"/>
  <c r="J185" i="1"/>
  <c r="K185" i="1"/>
  <c r="L185" i="1"/>
  <c r="M185" i="1"/>
  <c r="N185" i="1"/>
  <c r="O185" i="1"/>
  <c r="P185" i="1"/>
  <c r="Q185" i="1"/>
  <c r="A186" i="1"/>
  <c r="B186" i="1"/>
  <c r="C186" i="1"/>
  <c r="D186" i="1"/>
  <c r="E186" i="1"/>
  <c r="F186" i="1"/>
  <c r="G186" i="1"/>
  <c r="H186" i="1"/>
  <c r="I186" i="1"/>
  <c r="J186" i="1"/>
  <c r="K186" i="1"/>
  <c r="L186" i="1"/>
  <c r="M186" i="1"/>
  <c r="N186" i="1"/>
  <c r="O186" i="1"/>
  <c r="P186" i="1"/>
  <c r="Q186" i="1"/>
  <c r="A187" i="1"/>
  <c r="B187" i="1"/>
  <c r="C187" i="1"/>
  <c r="E187" i="1"/>
  <c r="F187" i="1"/>
  <c r="G187" i="1"/>
  <c r="H187" i="1"/>
  <c r="I187" i="1"/>
  <c r="J187" i="1"/>
  <c r="K187" i="1"/>
  <c r="L187" i="1"/>
  <c r="M187" i="1"/>
  <c r="N187" i="1"/>
  <c r="O187" i="1"/>
  <c r="P187" i="1"/>
  <c r="Q187" i="1"/>
  <c r="A188" i="1"/>
  <c r="B188" i="1"/>
  <c r="C188" i="1"/>
  <c r="D188" i="1"/>
  <c r="E188" i="1"/>
  <c r="F188" i="1"/>
  <c r="G188" i="1"/>
  <c r="H188" i="1"/>
  <c r="I188" i="1"/>
  <c r="J188" i="1"/>
  <c r="K188" i="1"/>
  <c r="L188" i="1"/>
  <c r="M188" i="1"/>
  <c r="N188" i="1"/>
  <c r="O188" i="1"/>
  <c r="P188" i="1"/>
  <c r="Q188" i="1"/>
  <c r="A189" i="1"/>
  <c r="B189" i="1"/>
  <c r="C189" i="1"/>
  <c r="D189" i="1"/>
  <c r="E189" i="1"/>
  <c r="F189" i="1"/>
  <c r="G189" i="1"/>
  <c r="H189" i="1"/>
  <c r="I189" i="1"/>
  <c r="J189" i="1"/>
  <c r="K189" i="1"/>
  <c r="L189" i="1"/>
  <c r="M189" i="1"/>
  <c r="N189" i="1"/>
  <c r="O189" i="1"/>
  <c r="P189" i="1"/>
  <c r="Q189" i="1"/>
  <c r="A190" i="1"/>
  <c r="B190" i="1"/>
  <c r="C190" i="1"/>
  <c r="E190" i="1"/>
  <c r="F190" i="1"/>
  <c r="G190" i="1"/>
  <c r="H190" i="1"/>
  <c r="I190" i="1"/>
  <c r="J190" i="1"/>
  <c r="K190" i="1"/>
  <c r="L190" i="1"/>
  <c r="M190" i="1"/>
  <c r="N190" i="1"/>
  <c r="O190" i="1"/>
  <c r="P190" i="1"/>
  <c r="Q190" i="1"/>
  <c r="A191" i="1"/>
  <c r="B191" i="1"/>
  <c r="C191" i="1"/>
  <c r="D191" i="1"/>
  <c r="E191" i="1"/>
  <c r="F191" i="1"/>
  <c r="G191" i="1"/>
  <c r="H191" i="1"/>
  <c r="I191" i="1"/>
  <c r="J191" i="1"/>
  <c r="K191" i="1"/>
  <c r="L191" i="1"/>
  <c r="M191" i="1"/>
  <c r="N191" i="1"/>
  <c r="O191" i="1"/>
  <c r="P191" i="1"/>
  <c r="Q191" i="1"/>
  <c r="A192" i="1"/>
  <c r="B192" i="1"/>
  <c r="C192" i="1"/>
  <c r="D192" i="1"/>
  <c r="E192" i="1"/>
  <c r="F192" i="1"/>
  <c r="G192" i="1"/>
  <c r="H192" i="1"/>
  <c r="I192" i="1"/>
  <c r="J192" i="1"/>
  <c r="K192" i="1"/>
  <c r="L192" i="1"/>
  <c r="M192" i="1"/>
  <c r="N192" i="1"/>
  <c r="O192" i="1"/>
  <c r="P192" i="1"/>
  <c r="Q192" i="1"/>
  <c r="A193" i="1"/>
  <c r="B193" i="1"/>
  <c r="C193" i="1"/>
  <c r="E193" i="1"/>
  <c r="F193" i="1"/>
  <c r="G193" i="1"/>
  <c r="H193" i="1"/>
  <c r="I193" i="1"/>
  <c r="J193" i="1"/>
  <c r="K193" i="1"/>
  <c r="L193" i="1"/>
  <c r="M193" i="1"/>
  <c r="N193" i="1"/>
  <c r="O193" i="1"/>
  <c r="P193" i="1"/>
  <c r="Q193" i="1"/>
  <c r="A194" i="1"/>
  <c r="B194" i="1"/>
  <c r="C194" i="1"/>
  <c r="D194" i="1"/>
  <c r="E194" i="1"/>
  <c r="F194" i="1"/>
  <c r="G194" i="1"/>
  <c r="H194" i="1"/>
  <c r="I194" i="1"/>
  <c r="J194" i="1"/>
  <c r="K194" i="1"/>
  <c r="L194" i="1"/>
  <c r="M194" i="1"/>
  <c r="N194" i="1"/>
  <c r="O194" i="1"/>
  <c r="P194" i="1"/>
  <c r="Q194" i="1"/>
  <c r="A195" i="1"/>
  <c r="B195" i="1"/>
  <c r="C195" i="1"/>
  <c r="D195" i="1"/>
  <c r="E195" i="1"/>
  <c r="F195" i="1"/>
  <c r="G195" i="1"/>
  <c r="H195" i="1"/>
  <c r="I195" i="1"/>
  <c r="J195" i="1"/>
  <c r="K195" i="1"/>
  <c r="L195" i="1"/>
  <c r="M195" i="1"/>
  <c r="N195" i="1"/>
  <c r="O195" i="1"/>
  <c r="P195" i="1"/>
  <c r="Q195" i="1"/>
  <c r="A196" i="1"/>
  <c r="B196" i="1"/>
  <c r="C196" i="1"/>
  <c r="D196" i="1"/>
  <c r="E196" i="1"/>
  <c r="F196" i="1"/>
  <c r="G196" i="1"/>
  <c r="H196" i="1"/>
  <c r="I196" i="1"/>
  <c r="J196" i="1"/>
  <c r="K196" i="1"/>
  <c r="L196" i="1"/>
  <c r="M196" i="1"/>
  <c r="N196" i="1"/>
  <c r="O196" i="1"/>
  <c r="P196" i="1"/>
  <c r="Q196" i="1"/>
  <c r="A197" i="1"/>
  <c r="B197" i="1"/>
  <c r="C197" i="1"/>
  <c r="E197" i="1"/>
  <c r="F197" i="1"/>
  <c r="G197" i="1"/>
  <c r="H197" i="1"/>
  <c r="I197" i="1"/>
  <c r="J197" i="1"/>
  <c r="K197" i="1"/>
  <c r="L197" i="1"/>
  <c r="M197" i="1"/>
  <c r="N197" i="1"/>
  <c r="O197" i="1"/>
  <c r="P197" i="1"/>
  <c r="Q197" i="1"/>
  <c r="A198" i="1"/>
  <c r="B198" i="1"/>
  <c r="C198" i="1"/>
  <c r="D198" i="1"/>
  <c r="E198" i="1"/>
  <c r="F198" i="1"/>
  <c r="G198" i="1"/>
  <c r="H198" i="1"/>
  <c r="I198" i="1"/>
  <c r="J198" i="1"/>
  <c r="K198" i="1"/>
  <c r="L198" i="1"/>
  <c r="M198" i="1"/>
  <c r="N198" i="1"/>
  <c r="O198" i="1"/>
  <c r="P198" i="1"/>
  <c r="Q198" i="1"/>
  <c r="A199" i="1"/>
  <c r="B199" i="1"/>
  <c r="C199" i="1"/>
  <c r="D199" i="1"/>
  <c r="E199" i="1"/>
  <c r="F199" i="1"/>
  <c r="G199" i="1"/>
  <c r="H199" i="1"/>
  <c r="I199" i="1"/>
  <c r="J199" i="1"/>
  <c r="K199" i="1"/>
  <c r="L199" i="1"/>
  <c r="M199" i="1"/>
  <c r="N199" i="1"/>
  <c r="O199" i="1"/>
  <c r="P199" i="1"/>
  <c r="Q199" i="1"/>
  <c r="A200" i="1"/>
  <c r="B200" i="1"/>
  <c r="C200" i="1"/>
  <c r="D200" i="1"/>
  <c r="E200" i="1"/>
  <c r="F200" i="1"/>
  <c r="G200" i="1"/>
  <c r="H200" i="1"/>
  <c r="I200" i="1"/>
  <c r="J200" i="1"/>
  <c r="K200" i="1"/>
  <c r="L200" i="1"/>
  <c r="M200" i="1"/>
  <c r="N200" i="1"/>
  <c r="O200" i="1"/>
  <c r="P200" i="1"/>
  <c r="Q200" i="1"/>
  <c r="A201" i="1"/>
  <c r="B201" i="1"/>
  <c r="C201" i="1"/>
  <c r="E201" i="1"/>
  <c r="F201" i="1"/>
  <c r="G201" i="1"/>
  <c r="H201" i="1"/>
  <c r="I201" i="1"/>
  <c r="J201" i="1"/>
  <c r="K201" i="1"/>
  <c r="L201" i="1"/>
  <c r="M201" i="1"/>
  <c r="N201" i="1"/>
  <c r="O201" i="1"/>
  <c r="P201" i="1"/>
  <c r="Q201" i="1"/>
  <c r="A202" i="1"/>
  <c r="B202" i="1"/>
  <c r="C202" i="1"/>
  <c r="E202" i="1"/>
  <c r="F202" i="1"/>
  <c r="G202" i="1"/>
  <c r="H202" i="1"/>
  <c r="I202" i="1"/>
  <c r="J202" i="1"/>
  <c r="K202" i="1"/>
  <c r="L202" i="1"/>
  <c r="M202" i="1"/>
  <c r="N202" i="1"/>
  <c r="O202" i="1"/>
  <c r="P202" i="1"/>
  <c r="Q202" i="1"/>
  <c r="A203" i="1"/>
  <c r="B203" i="1"/>
  <c r="C203" i="1"/>
  <c r="D203" i="1"/>
  <c r="E203" i="1"/>
  <c r="F203" i="1"/>
  <c r="G203" i="1"/>
  <c r="H203" i="1"/>
  <c r="I203" i="1"/>
  <c r="J203" i="1"/>
  <c r="K203" i="1"/>
  <c r="L203" i="1"/>
  <c r="M203" i="1"/>
  <c r="N203" i="1"/>
  <c r="O203" i="1"/>
  <c r="P203" i="1"/>
  <c r="Q203" i="1"/>
  <c r="A204" i="1"/>
  <c r="B204" i="1"/>
  <c r="C204" i="1"/>
  <c r="D204" i="1"/>
  <c r="E204" i="1"/>
  <c r="F204" i="1"/>
  <c r="G204" i="1"/>
  <c r="H204" i="1"/>
  <c r="I204" i="1"/>
  <c r="J204" i="1"/>
  <c r="K204" i="1"/>
  <c r="L204" i="1"/>
  <c r="M204" i="1"/>
  <c r="N204" i="1"/>
  <c r="O204" i="1"/>
  <c r="P204" i="1"/>
  <c r="Q204" i="1"/>
  <c r="A205" i="1"/>
  <c r="B205" i="1"/>
  <c r="C205" i="1"/>
  <c r="D205" i="1"/>
  <c r="E205" i="1"/>
  <c r="F205" i="1"/>
  <c r="G205" i="1"/>
  <c r="H205" i="1"/>
  <c r="I205" i="1"/>
  <c r="J205" i="1"/>
  <c r="K205" i="1"/>
  <c r="L205" i="1"/>
  <c r="M205" i="1"/>
  <c r="N205" i="1"/>
  <c r="O205" i="1"/>
  <c r="P205" i="1"/>
  <c r="Q205" i="1"/>
  <c r="A206" i="1"/>
  <c r="B206" i="1"/>
  <c r="C206" i="1"/>
  <c r="D206" i="1"/>
  <c r="E206" i="1"/>
  <c r="F206" i="1"/>
  <c r="G206" i="1"/>
  <c r="H206" i="1"/>
  <c r="I206" i="1"/>
  <c r="J206" i="1"/>
  <c r="K206" i="1"/>
  <c r="L206" i="1"/>
  <c r="M206" i="1"/>
  <c r="N206" i="1"/>
  <c r="O206" i="1"/>
  <c r="P206" i="1"/>
  <c r="Q206" i="1"/>
  <c r="A207" i="1"/>
  <c r="B207" i="1"/>
  <c r="C207" i="1"/>
  <c r="D207" i="1"/>
  <c r="E207" i="1"/>
  <c r="F207" i="1"/>
  <c r="G207" i="1"/>
  <c r="H207" i="1"/>
  <c r="I207" i="1"/>
  <c r="J207" i="1"/>
  <c r="K207" i="1"/>
  <c r="L207" i="1"/>
  <c r="M207" i="1"/>
  <c r="N207" i="1"/>
  <c r="O207" i="1"/>
  <c r="P207" i="1"/>
  <c r="Q207" i="1"/>
  <c r="A208" i="1"/>
  <c r="B208" i="1"/>
  <c r="C208" i="1"/>
  <c r="D208" i="1"/>
  <c r="E208" i="1"/>
  <c r="F208" i="1"/>
  <c r="G208" i="1"/>
  <c r="H208" i="1"/>
  <c r="I208" i="1"/>
  <c r="J208" i="1"/>
  <c r="K208" i="1"/>
  <c r="L208" i="1"/>
  <c r="M208" i="1"/>
  <c r="N208" i="1"/>
  <c r="O208" i="1"/>
  <c r="P208" i="1"/>
  <c r="Q208" i="1"/>
  <c r="A209" i="1"/>
  <c r="B209" i="1"/>
  <c r="C209" i="1"/>
  <c r="D209" i="1"/>
  <c r="E209" i="1"/>
  <c r="F209" i="1"/>
  <c r="G209" i="1"/>
  <c r="H209" i="1"/>
  <c r="I209" i="1"/>
  <c r="J209" i="1"/>
  <c r="K209" i="1"/>
  <c r="L209" i="1"/>
  <c r="M209" i="1"/>
  <c r="N209" i="1"/>
  <c r="O209" i="1"/>
  <c r="P209" i="1"/>
  <c r="Q209" i="1"/>
  <c r="A210" i="1"/>
  <c r="B210" i="1"/>
  <c r="C210" i="1"/>
  <c r="D210" i="1"/>
  <c r="E210" i="1"/>
  <c r="F210" i="1"/>
  <c r="G210" i="1"/>
  <c r="H210" i="1"/>
  <c r="I210" i="1"/>
  <c r="J210" i="1"/>
  <c r="K210" i="1"/>
  <c r="L210" i="1"/>
  <c r="M210" i="1"/>
  <c r="N210" i="1"/>
  <c r="O210" i="1"/>
  <c r="P210" i="1"/>
  <c r="Q210" i="1"/>
  <c r="A211" i="1"/>
  <c r="B211" i="1"/>
  <c r="C211" i="1"/>
  <c r="D211" i="1"/>
  <c r="E211" i="1"/>
  <c r="F211" i="1"/>
  <c r="G211" i="1"/>
  <c r="H211" i="1"/>
  <c r="I211" i="1"/>
  <c r="J211" i="1"/>
  <c r="K211" i="1"/>
  <c r="L211" i="1"/>
  <c r="M211" i="1"/>
  <c r="N211" i="1"/>
  <c r="O211" i="1"/>
  <c r="P211" i="1"/>
  <c r="Q211" i="1"/>
  <c r="A212" i="1"/>
  <c r="B212" i="1"/>
  <c r="C212" i="1"/>
  <c r="D212" i="1"/>
  <c r="E212" i="1"/>
  <c r="F212" i="1"/>
  <c r="G212" i="1"/>
  <c r="H212" i="1"/>
  <c r="I212" i="1"/>
  <c r="J212" i="1"/>
  <c r="K212" i="1"/>
  <c r="L212" i="1"/>
  <c r="M212" i="1"/>
  <c r="N212" i="1"/>
  <c r="O212" i="1"/>
  <c r="P212" i="1"/>
  <c r="Q212" i="1"/>
  <c r="A213" i="1"/>
  <c r="B213" i="1"/>
  <c r="C213" i="1"/>
  <c r="D213" i="1"/>
  <c r="E213" i="1"/>
  <c r="F213" i="1"/>
  <c r="G213" i="1"/>
  <c r="H213" i="1"/>
  <c r="I213" i="1"/>
  <c r="J213" i="1"/>
  <c r="K213" i="1"/>
  <c r="L213" i="1"/>
  <c r="M213" i="1"/>
  <c r="N213" i="1"/>
  <c r="O213" i="1"/>
  <c r="P213" i="1"/>
  <c r="Q213" i="1"/>
  <c r="A214" i="1"/>
  <c r="B214" i="1"/>
  <c r="C214" i="1"/>
  <c r="D214" i="1"/>
  <c r="E214" i="1"/>
  <c r="F214" i="1"/>
  <c r="G214" i="1"/>
  <c r="H214" i="1"/>
  <c r="I214" i="1"/>
  <c r="J214" i="1"/>
  <c r="K214" i="1"/>
  <c r="L214" i="1"/>
  <c r="M214" i="1"/>
  <c r="N214" i="1"/>
  <c r="O214" i="1"/>
  <c r="P214" i="1"/>
  <c r="Q214" i="1"/>
  <c r="A215" i="1"/>
  <c r="B215" i="1"/>
  <c r="C215" i="1"/>
  <c r="D215" i="1"/>
  <c r="E215" i="1"/>
  <c r="F215" i="1"/>
  <c r="G215" i="1"/>
  <c r="H215" i="1"/>
  <c r="I215" i="1"/>
  <c r="J215" i="1"/>
  <c r="K215" i="1"/>
  <c r="L215" i="1"/>
  <c r="M215" i="1"/>
  <c r="N215" i="1"/>
  <c r="O215" i="1"/>
  <c r="P215" i="1"/>
  <c r="Q215" i="1"/>
  <c r="A216" i="1"/>
  <c r="B216" i="1"/>
  <c r="C216" i="1"/>
  <c r="D216" i="1"/>
  <c r="E216" i="1"/>
  <c r="F216" i="1"/>
  <c r="G216" i="1"/>
  <c r="H216" i="1"/>
  <c r="I216" i="1"/>
  <c r="J216" i="1"/>
  <c r="K216" i="1"/>
  <c r="L216" i="1"/>
  <c r="M216" i="1"/>
  <c r="N216" i="1"/>
  <c r="O216" i="1"/>
  <c r="P216" i="1"/>
  <c r="Q216" i="1"/>
  <c r="A217" i="1"/>
  <c r="B217" i="1"/>
  <c r="C217" i="1"/>
  <c r="E217" i="1"/>
  <c r="F217" i="1"/>
  <c r="G217" i="1"/>
  <c r="H217" i="1"/>
  <c r="I217" i="1"/>
  <c r="J217" i="1"/>
  <c r="K217" i="1"/>
  <c r="L217" i="1"/>
  <c r="M217" i="1"/>
  <c r="N217" i="1"/>
  <c r="O217" i="1"/>
  <c r="P217" i="1"/>
  <c r="Q217" i="1"/>
  <c r="A218" i="1"/>
  <c r="B218" i="1"/>
  <c r="C218" i="1"/>
  <c r="D218" i="1"/>
  <c r="E218" i="1"/>
  <c r="F218" i="1"/>
  <c r="G218" i="1"/>
  <c r="H218" i="1"/>
  <c r="I218" i="1"/>
  <c r="J218" i="1"/>
  <c r="K218" i="1"/>
  <c r="L218" i="1"/>
  <c r="M218" i="1"/>
  <c r="N218" i="1"/>
  <c r="O218" i="1"/>
  <c r="P218" i="1"/>
  <c r="Q218" i="1"/>
  <c r="A219" i="1"/>
  <c r="B219" i="1"/>
  <c r="C219" i="1"/>
  <c r="D219" i="1"/>
  <c r="E219" i="1"/>
  <c r="F219" i="1"/>
  <c r="G219" i="1"/>
  <c r="H219" i="1"/>
  <c r="I219" i="1"/>
  <c r="J219" i="1"/>
  <c r="K219" i="1"/>
  <c r="L219" i="1"/>
  <c r="M219" i="1"/>
  <c r="N219" i="1"/>
  <c r="O219" i="1"/>
  <c r="P219" i="1"/>
  <c r="Q219" i="1"/>
  <c r="A220" i="1"/>
  <c r="B220" i="1"/>
  <c r="C220" i="1"/>
  <c r="D220" i="1"/>
  <c r="E220" i="1"/>
  <c r="F220" i="1"/>
  <c r="G220" i="1"/>
  <c r="H220" i="1"/>
  <c r="I220" i="1"/>
  <c r="J220" i="1"/>
  <c r="K220" i="1"/>
  <c r="L220" i="1"/>
  <c r="M220" i="1"/>
  <c r="N220" i="1"/>
  <c r="O220" i="1"/>
  <c r="P220" i="1"/>
  <c r="Q220" i="1"/>
  <c r="A221" i="1"/>
  <c r="B221" i="1"/>
  <c r="C221" i="1"/>
  <c r="D221" i="1"/>
  <c r="E221" i="1"/>
  <c r="F221" i="1"/>
  <c r="G221" i="1"/>
  <c r="H221" i="1"/>
  <c r="I221" i="1"/>
  <c r="J221" i="1"/>
  <c r="K221" i="1"/>
  <c r="L221" i="1"/>
  <c r="M221" i="1"/>
  <c r="N221" i="1"/>
  <c r="O221" i="1"/>
  <c r="P221" i="1"/>
  <c r="Q221" i="1"/>
  <c r="A222" i="1"/>
  <c r="B222" i="1"/>
  <c r="C222" i="1"/>
  <c r="D222" i="1"/>
  <c r="E222" i="1"/>
  <c r="F222" i="1"/>
  <c r="G222" i="1"/>
  <c r="H222" i="1"/>
  <c r="I222" i="1"/>
  <c r="J222" i="1"/>
  <c r="K222" i="1"/>
  <c r="L222" i="1"/>
  <c r="M222" i="1"/>
  <c r="N222" i="1"/>
  <c r="O222" i="1"/>
  <c r="P222" i="1"/>
  <c r="Q222" i="1"/>
  <c r="A223" i="1"/>
  <c r="B223" i="1"/>
  <c r="C223" i="1"/>
  <c r="D223" i="1"/>
  <c r="E223" i="1"/>
  <c r="F223" i="1"/>
  <c r="G223" i="1"/>
  <c r="H223" i="1"/>
  <c r="I223" i="1"/>
  <c r="J223" i="1"/>
  <c r="K223" i="1"/>
  <c r="L223" i="1"/>
  <c r="M223" i="1"/>
  <c r="N223" i="1"/>
  <c r="O223" i="1"/>
  <c r="P223" i="1"/>
  <c r="Q223" i="1"/>
  <c r="A224" i="1"/>
  <c r="B224" i="1"/>
  <c r="C224" i="1"/>
  <c r="D224" i="1"/>
  <c r="E224" i="1"/>
  <c r="F224" i="1"/>
  <c r="G224" i="1"/>
  <c r="H224" i="1"/>
  <c r="I224" i="1"/>
  <c r="J224" i="1"/>
  <c r="K224" i="1"/>
  <c r="L224" i="1"/>
  <c r="M224" i="1"/>
  <c r="N224" i="1"/>
  <c r="O224" i="1"/>
  <c r="P224" i="1"/>
  <c r="Q224" i="1"/>
  <c r="A225" i="1"/>
  <c r="B225" i="1"/>
  <c r="C225" i="1"/>
  <c r="D225" i="1"/>
  <c r="E225" i="1"/>
  <c r="F225" i="1"/>
  <c r="G225" i="1"/>
  <c r="H225" i="1"/>
  <c r="I225" i="1"/>
  <c r="J225" i="1"/>
  <c r="K225" i="1"/>
  <c r="L225" i="1"/>
  <c r="M225" i="1"/>
  <c r="N225" i="1"/>
  <c r="O225" i="1"/>
  <c r="P225" i="1"/>
  <c r="Q225" i="1"/>
  <c r="A226" i="1"/>
  <c r="B226" i="1"/>
  <c r="C226" i="1"/>
  <c r="D226" i="1"/>
  <c r="E226" i="1"/>
  <c r="F226" i="1"/>
  <c r="G226" i="1"/>
  <c r="H226" i="1"/>
  <c r="I226" i="1"/>
  <c r="J226" i="1"/>
  <c r="K226" i="1"/>
  <c r="L226" i="1"/>
  <c r="M226" i="1"/>
  <c r="N226" i="1"/>
  <c r="O226" i="1"/>
  <c r="P226" i="1"/>
  <c r="Q226" i="1"/>
  <c r="A227" i="1"/>
  <c r="B227" i="1"/>
  <c r="C227" i="1"/>
  <c r="D227" i="1"/>
  <c r="E227" i="1"/>
  <c r="F227" i="1"/>
  <c r="G227" i="1"/>
  <c r="H227" i="1"/>
  <c r="I227" i="1"/>
  <c r="J227" i="1"/>
  <c r="K227" i="1"/>
  <c r="L227" i="1"/>
  <c r="M227" i="1"/>
  <c r="N227" i="1"/>
  <c r="O227" i="1"/>
  <c r="P227" i="1"/>
  <c r="Q227" i="1"/>
  <c r="A228" i="1"/>
  <c r="B228" i="1"/>
  <c r="C228" i="1"/>
  <c r="E228" i="1"/>
  <c r="F228" i="1"/>
  <c r="G228" i="1"/>
  <c r="H228" i="1"/>
  <c r="I228" i="1"/>
  <c r="J228" i="1"/>
  <c r="K228" i="1"/>
  <c r="L228" i="1"/>
  <c r="M228" i="1"/>
  <c r="N228" i="1"/>
  <c r="O228" i="1"/>
  <c r="P228" i="1"/>
  <c r="Q228" i="1"/>
  <c r="A229" i="1"/>
  <c r="B229" i="1"/>
  <c r="C229" i="1"/>
  <c r="E229" i="1"/>
  <c r="F229" i="1"/>
  <c r="G229" i="1"/>
  <c r="H229" i="1"/>
  <c r="I229" i="1"/>
  <c r="J229" i="1"/>
  <c r="K229" i="1"/>
  <c r="L229" i="1"/>
  <c r="M229" i="1"/>
  <c r="N229" i="1"/>
  <c r="O229" i="1"/>
  <c r="P229" i="1"/>
  <c r="Q229" i="1"/>
  <c r="A230" i="1"/>
  <c r="B230" i="1"/>
  <c r="C230" i="1"/>
  <c r="D230" i="1"/>
  <c r="E230" i="1"/>
  <c r="F230" i="1"/>
  <c r="G230" i="1"/>
  <c r="H230" i="1"/>
  <c r="I230" i="1"/>
  <c r="J230" i="1"/>
  <c r="K230" i="1"/>
  <c r="L230" i="1"/>
  <c r="M230" i="1"/>
  <c r="N230" i="1"/>
  <c r="O230" i="1"/>
  <c r="P230" i="1"/>
  <c r="Q230" i="1"/>
  <c r="A231" i="1"/>
  <c r="B231" i="1"/>
  <c r="C231" i="1"/>
  <c r="D231" i="1"/>
  <c r="E231" i="1"/>
  <c r="F231" i="1"/>
  <c r="G231" i="1"/>
  <c r="H231" i="1"/>
  <c r="I231" i="1"/>
  <c r="J231" i="1"/>
  <c r="K231" i="1"/>
  <c r="L231" i="1"/>
  <c r="M231" i="1"/>
  <c r="N231" i="1"/>
  <c r="O231" i="1"/>
  <c r="P231" i="1"/>
  <c r="Q231" i="1"/>
  <c r="A232" i="1"/>
  <c r="B232" i="1"/>
  <c r="C232" i="1"/>
  <c r="D232" i="1"/>
  <c r="E232" i="1"/>
  <c r="F232" i="1"/>
  <c r="G232" i="1"/>
  <c r="H232" i="1"/>
  <c r="I232" i="1"/>
  <c r="J232" i="1"/>
  <c r="K232" i="1"/>
  <c r="L232" i="1"/>
  <c r="M232" i="1"/>
  <c r="N232" i="1"/>
  <c r="O232" i="1"/>
  <c r="P232" i="1"/>
  <c r="Q232" i="1"/>
  <c r="A233" i="1"/>
  <c r="B233" i="1"/>
  <c r="C233" i="1"/>
  <c r="D233" i="1"/>
  <c r="E233" i="1"/>
  <c r="F233" i="1"/>
  <c r="G233" i="1"/>
  <c r="H233" i="1"/>
  <c r="I233" i="1"/>
  <c r="J233" i="1"/>
  <c r="K233" i="1"/>
  <c r="L233" i="1"/>
  <c r="M233" i="1"/>
  <c r="N233" i="1"/>
  <c r="O233" i="1"/>
  <c r="P233" i="1"/>
  <c r="Q233" i="1"/>
  <c r="A234" i="1"/>
  <c r="B234" i="1"/>
  <c r="C234" i="1"/>
  <c r="D234" i="1"/>
  <c r="E234" i="1"/>
  <c r="F234" i="1"/>
  <c r="G234" i="1"/>
  <c r="H234" i="1"/>
  <c r="I234" i="1"/>
  <c r="J234" i="1"/>
  <c r="K234" i="1"/>
  <c r="L234" i="1"/>
  <c r="M234" i="1"/>
  <c r="N234" i="1"/>
  <c r="O234" i="1"/>
  <c r="P234" i="1"/>
  <c r="Q234" i="1"/>
  <c r="A235" i="1"/>
  <c r="B235" i="1"/>
  <c r="C235" i="1"/>
  <c r="E235" i="1"/>
  <c r="F235" i="1"/>
  <c r="G235" i="1"/>
  <c r="H235" i="1"/>
  <c r="I235" i="1"/>
  <c r="J235" i="1"/>
  <c r="K235" i="1"/>
  <c r="L235" i="1"/>
  <c r="M235" i="1"/>
  <c r="N235" i="1"/>
  <c r="O235" i="1"/>
  <c r="P235" i="1"/>
  <c r="Q235" i="1"/>
  <c r="A236" i="1"/>
  <c r="B236" i="1"/>
  <c r="C236" i="1"/>
  <c r="E236" i="1"/>
  <c r="F236" i="1"/>
  <c r="G236" i="1"/>
  <c r="H236" i="1"/>
  <c r="I236" i="1"/>
  <c r="J236" i="1"/>
  <c r="K236" i="1"/>
  <c r="L236" i="1"/>
  <c r="M236" i="1"/>
  <c r="N236" i="1"/>
  <c r="O236" i="1"/>
  <c r="P236" i="1"/>
  <c r="Q236" i="1"/>
  <c r="A237" i="1"/>
  <c r="B237" i="1"/>
  <c r="C237" i="1"/>
  <c r="E237" i="1"/>
  <c r="F237" i="1"/>
  <c r="G237" i="1"/>
  <c r="H237" i="1"/>
  <c r="I237" i="1"/>
  <c r="J237" i="1"/>
  <c r="K237" i="1"/>
  <c r="L237" i="1"/>
  <c r="M237" i="1"/>
  <c r="N237" i="1"/>
  <c r="O237" i="1"/>
  <c r="P237" i="1"/>
  <c r="Q237" i="1"/>
  <c r="A238" i="1"/>
  <c r="B238" i="1"/>
  <c r="C238" i="1"/>
  <c r="D238" i="1"/>
  <c r="E238" i="1"/>
  <c r="F238" i="1"/>
  <c r="G238" i="1"/>
  <c r="H238" i="1"/>
  <c r="I238" i="1"/>
  <c r="J238" i="1"/>
  <c r="K238" i="1"/>
  <c r="L238" i="1"/>
  <c r="M238" i="1"/>
  <c r="N238" i="1"/>
  <c r="O238" i="1"/>
  <c r="P238" i="1"/>
  <c r="Q238" i="1"/>
  <c r="A239" i="1"/>
  <c r="B239" i="1"/>
  <c r="C239" i="1"/>
  <c r="D239" i="1"/>
  <c r="E239" i="1"/>
  <c r="F239" i="1"/>
  <c r="G239" i="1"/>
  <c r="H239" i="1"/>
  <c r="I239" i="1"/>
  <c r="J239" i="1"/>
  <c r="K239" i="1"/>
  <c r="L239" i="1"/>
  <c r="M239" i="1"/>
  <c r="N239" i="1"/>
  <c r="O239" i="1"/>
  <c r="P239" i="1"/>
  <c r="Q239" i="1"/>
  <c r="A240" i="1"/>
  <c r="B240" i="1"/>
  <c r="C240" i="1"/>
  <c r="D240" i="1"/>
  <c r="E240" i="1"/>
  <c r="F240" i="1"/>
  <c r="G240" i="1"/>
  <c r="H240" i="1"/>
  <c r="I240" i="1"/>
  <c r="J240" i="1"/>
  <c r="K240" i="1"/>
  <c r="L240" i="1"/>
  <c r="M240" i="1"/>
  <c r="N240" i="1"/>
  <c r="O240" i="1"/>
  <c r="P240" i="1"/>
  <c r="Q240" i="1"/>
  <c r="A241" i="1"/>
  <c r="B241" i="1"/>
  <c r="C241" i="1"/>
  <c r="D241" i="1"/>
  <c r="E241" i="1"/>
  <c r="F241" i="1"/>
  <c r="G241" i="1"/>
  <c r="H241" i="1"/>
  <c r="I241" i="1"/>
  <c r="J241" i="1"/>
  <c r="K241" i="1"/>
  <c r="L241" i="1"/>
  <c r="M241" i="1"/>
  <c r="N241" i="1"/>
  <c r="O241" i="1"/>
  <c r="P241" i="1"/>
  <c r="Q241" i="1"/>
  <c r="A242" i="1"/>
  <c r="B242" i="1"/>
  <c r="C242" i="1"/>
  <c r="E242" i="1"/>
  <c r="F242" i="1"/>
  <c r="G242" i="1"/>
  <c r="H242" i="1"/>
  <c r="I242" i="1"/>
  <c r="J242" i="1"/>
  <c r="K242" i="1"/>
  <c r="L242" i="1"/>
  <c r="M242" i="1"/>
  <c r="N242" i="1"/>
  <c r="O242" i="1"/>
  <c r="P242" i="1"/>
  <c r="Q242" i="1"/>
  <c r="A243" i="1"/>
  <c r="B243" i="1"/>
  <c r="C243" i="1"/>
  <c r="D243" i="1"/>
  <c r="E243" i="1"/>
  <c r="F243" i="1"/>
  <c r="G243" i="1"/>
  <c r="H243" i="1"/>
  <c r="I243" i="1"/>
  <c r="J243" i="1"/>
  <c r="K243" i="1"/>
  <c r="L243" i="1"/>
  <c r="M243" i="1"/>
  <c r="N243" i="1"/>
  <c r="O243" i="1"/>
  <c r="P243" i="1"/>
  <c r="Q243" i="1"/>
  <c r="A244" i="1"/>
  <c r="B244" i="1"/>
  <c r="C244" i="1"/>
  <c r="D244" i="1"/>
  <c r="E244" i="1"/>
  <c r="F244" i="1"/>
  <c r="G244" i="1"/>
  <c r="H244" i="1"/>
  <c r="I244" i="1"/>
  <c r="J244" i="1"/>
  <c r="K244" i="1"/>
  <c r="L244" i="1"/>
  <c r="M244" i="1"/>
  <c r="N244" i="1"/>
  <c r="O244" i="1"/>
  <c r="P244" i="1"/>
  <c r="Q244" i="1"/>
  <c r="A245" i="1"/>
  <c r="B245" i="1"/>
  <c r="C245" i="1"/>
  <c r="E245" i="1"/>
  <c r="F245" i="1"/>
  <c r="G245" i="1"/>
  <c r="H245" i="1"/>
  <c r="I245" i="1"/>
  <c r="J245" i="1"/>
  <c r="K245" i="1"/>
  <c r="L245" i="1"/>
  <c r="M245" i="1"/>
  <c r="N245" i="1"/>
  <c r="O245" i="1"/>
  <c r="P245" i="1"/>
  <c r="Q245" i="1"/>
  <c r="A246" i="1"/>
  <c r="B246" i="1"/>
  <c r="C246" i="1"/>
  <c r="D246" i="1"/>
  <c r="E246" i="1"/>
  <c r="F246" i="1"/>
  <c r="G246" i="1"/>
  <c r="H246" i="1"/>
  <c r="I246" i="1"/>
  <c r="J246" i="1"/>
  <c r="K246" i="1"/>
  <c r="L246" i="1"/>
  <c r="M246" i="1"/>
  <c r="N246" i="1"/>
  <c r="O246" i="1"/>
  <c r="P246" i="1"/>
  <c r="Q246" i="1"/>
  <c r="A247" i="1"/>
  <c r="B247" i="1"/>
  <c r="C247" i="1"/>
  <c r="D247" i="1"/>
  <c r="E247" i="1"/>
  <c r="F247" i="1"/>
  <c r="G247" i="1"/>
  <c r="H247" i="1"/>
  <c r="I247" i="1"/>
  <c r="J247" i="1"/>
  <c r="K247" i="1"/>
  <c r="L247" i="1"/>
  <c r="M247" i="1"/>
  <c r="N247" i="1"/>
  <c r="O247" i="1"/>
  <c r="P247" i="1"/>
  <c r="Q247" i="1"/>
  <c r="A248" i="1"/>
  <c r="B248" i="1"/>
  <c r="C248" i="1"/>
  <c r="D248" i="1"/>
  <c r="E248" i="1"/>
  <c r="F248" i="1"/>
  <c r="G248" i="1"/>
  <c r="H248" i="1"/>
  <c r="I248" i="1"/>
  <c r="J248" i="1"/>
  <c r="K248" i="1"/>
  <c r="L248" i="1"/>
  <c r="M248" i="1"/>
  <c r="N248" i="1"/>
  <c r="O248" i="1"/>
  <c r="P248" i="1"/>
  <c r="Q248" i="1"/>
  <c r="A249" i="1"/>
  <c r="B249" i="1"/>
  <c r="C249" i="1"/>
  <c r="D249" i="1"/>
  <c r="E249" i="1"/>
  <c r="F249" i="1"/>
  <c r="G249" i="1"/>
  <c r="H249" i="1"/>
  <c r="I249" i="1"/>
  <c r="J249" i="1"/>
  <c r="K249" i="1"/>
  <c r="L249" i="1"/>
  <c r="M249" i="1"/>
  <c r="N249" i="1"/>
  <c r="O249" i="1"/>
  <c r="P249" i="1"/>
  <c r="Q249" i="1"/>
  <c r="A250" i="1"/>
  <c r="B250" i="1"/>
  <c r="C250" i="1"/>
  <c r="D250" i="1"/>
  <c r="E250" i="1"/>
  <c r="F250" i="1"/>
  <c r="G250" i="1"/>
  <c r="H250" i="1"/>
  <c r="I250" i="1"/>
  <c r="J250" i="1"/>
  <c r="K250" i="1"/>
  <c r="L250" i="1"/>
  <c r="M250" i="1"/>
  <c r="N250" i="1"/>
  <c r="O250" i="1"/>
  <c r="P250" i="1"/>
  <c r="Q250" i="1"/>
  <c r="A251" i="1"/>
  <c r="B251" i="1"/>
  <c r="C251" i="1"/>
  <c r="D251" i="1"/>
  <c r="E251" i="1"/>
  <c r="F251" i="1"/>
  <c r="G251" i="1"/>
  <c r="H251" i="1"/>
  <c r="I251" i="1"/>
  <c r="J251" i="1"/>
  <c r="K251" i="1"/>
  <c r="L251" i="1"/>
  <c r="M251" i="1"/>
  <c r="N251" i="1"/>
  <c r="O251" i="1"/>
  <c r="P251" i="1"/>
  <c r="Q251" i="1"/>
  <c r="A252" i="1"/>
  <c r="B252" i="1"/>
  <c r="C252" i="1"/>
  <c r="D252" i="1"/>
  <c r="E252" i="1"/>
  <c r="F252" i="1"/>
  <c r="G252" i="1"/>
  <c r="H252" i="1"/>
  <c r="I252" i="1"/>
  <c r="J252" i="1"/>
  <c r="K252" i="1"/>
  <c r="L252" i="1"/>
  <c r="M252" i="1"/>
  <c r="N252" i="1"/>
  <c r="O252" i="1"/>
  <c r="P252" i="1"/>
  <c r="Q252" i="1"/>
  <c r="A253" i="1"/>
  <c r="B253" i="1"/>
  <c r="C253" i="1"/>
  <c r="D253" i="1"/>
  <c r="E253" i="1"/>
  <c r="F253" i="1"/>
  <c r="G253" i="1"/>
  <c r="H253" i="1"/>
  <c r="I253" i="1"/>
  <c r="J253" i="1"/>
  <c r="K253" i="1"/>
  <c r="L253" i="1"/>
  <c r="M253" i="1"/>
  <c r="N253" i="1"/>
  <c r="O253" i="1"/>
  <c r="P253" i="1"/>
  <c r="Q253" i="1"/>
  <c r="A254" i="1"/>
  <c r="B254" i="1"/>
  <c r="C254" i="1"/>
  <c r="D254" i="1"/>
  <c r="E254" i="1"/>
  <c r="F254" i="1"/>
  <c r="G254" i="1"/>
  <c r="H254" i="1"/>
  <c r="I254" i="1"/>
  <c r="J254" i="1"/>
  <c r="K254" i="1"/>
  <c r="L254" i="1"/>
  <c r="M254" i="1"/>
  <c r="N254" i="1"/>
  <c r="O254" i="1"/>
  <c r="P254" i="1"/>
  <c r="Q254" i="1"/>
  <c r="A255" i="1"/>
  <c r="B255" i="1"/>
  <c r="C255" i="1"/>
  <c r="D255" i="1"/>
  <c r="E255" i="1"/>
  <c r="F255" i="1"/>
  <c r="G255" i="1"/>
  <c r="H255" i="1"/>
  <c r="I255" i="1"/>
  <c r="J255" i="1"/>
  <c r="K255" i="1"/>
  <c r="L255" i="1"/>
  <c r="M255" i="1"/>
  <c r="N255" i="1"/>
  <c r="O255" i="1"/>
  <c r="P255" i="1"/>
  <c r="Q255" i="1"/>
  <c r="A256" i="1"/>
  <c r="B256" i="1"/>
  <c r="C256" i="1"/>
  <c r="D256" i="1"/>
  <c r="E256" i="1"/>
  <c r="F256" i="1"/>
  <c r="G256" i="1"/>
  <c r="H256" i="1"/>
  <c r="I256" i="1"/>
  <c r="J256" i="1"/>
  <c r="K256" i="1"/>
  <c r="L256" i="1"/>
  <c r="M256" i="1"/>
  <c r="N256" i="1"/>
  <c r="O256" i="1"/>
  <c r="P256" i="1"/>
  <c r="Q256" i="1"/>
  <c r="A257" i="1"/>
  <c r="B257" i="1"/>
  <c r="C257" i="1"/>
  <c r="D257" i="1"/>
  <c r="E257" i="1"/>
  <c r="F257" i="1"/>
  <c r="G257" i="1"/>
  <c r="H257" i="1"/>
  <c r="I257" i="1"/>
  <c r="J257" i="1"/>
  <c r="K257" i="1"/>
  <c r="L257" i="1"/>
  <c r="M257" i="1"/>
  <c r="N257" i="1"/>
  <c r="O257" i="1"/>
  <c r="P257" i="1"/>
  <c r="Q257" i="1"/>
  <c r="A258" i="1"/>
  <c r="B258" i="1"/>
  <c r="C258" i="1"/>
  <c r="D258" i="1"/>
  <c r="E258" i="1"/>
  <c r="F258" i="1"/>
  <c r="G258" i="1"/>
  <c r="H258" i="1"/>
  <c r="I258" i="1"/>
  <c r="J258" i="1"/>
  <c r="K258" i="1"/>
  <c r="L258" i="1"/>
  <c r="M258" i="1"/>
  <c r="N258" i="1"/>
  <c r="O258" i="1"/>
  <c r="P258" i="1"/>
  <c r="Q258" i="1"/>
  <c r="A259" i="1"/>
  <c r="B259" i="1"/>
  <c r="C259" i="1"/>
  <c r="D259" i="1"/>
  <c r="E259" i="1"/>
  <c r="F259" i="1"/>
  <c r="G259" i="1"/>
  <c r="H259" i="1"/>
  <c r="I259" i="1"/>
  <c r="J259" i="1"/>
  <c r="K259" i="1"/>
  <c r="L259" i="1"/>
  <c r="M259" i="1"/>
  <c r="N259" i="1"/>
  <c r="O259" i="1"/>
  <c r="P259" i="1"/>
  <c r="Q259" i="1"/>
  <c r="A260" i="1"/>
  <c r="B260" i="1"/>
  <c r="C260" i="1"/>
  <c r="D260" i="1"/>
  <c r="E260" i="1"/>
  <c r="F260" i="1"/>
  <c r="G260" i="1"/>
  <c r="H260" i="1"/>
  <c r="I260" i="1"/>
  <c r="J260" i="1"/>
  <c r="K260" i="1"/>
  <c r="L260" i="1"/>
  <c r="M260" i="1"/>
  <c r="N260" i="1"/>
  <c r="O260" i="1"/>
  <c r="P260" i="1"/>
  <c r="Q260" i="1"/>
  <c r="A261" i="1"/>
  <c r="B261" i="1"/>
  <c r="C261" i="1"/>
  <c r="D261" i="1"/>
  <c r="E261" i="1"/>
  <c r="F261" i="1"/>
  <c r="G261" i="1"/>
  <c r="H261" i="1"/>
  <c r="I261" i="1"/>
  <c r="J261" i="1"/>
  <c r="K261" i="1"/>
  <c r="L261" i="1"/>
  <c r="M261" i="1"/>
  <c r="N261" i="1"/>
  <c r="O261" i="1"/>
  <c r="P261" i="1"/>
  <c r="Q261" i="1"/>
  <c r="A262" i="1"/>
  <c r="B262" i="1"/>
  <c r="C262" i="1"/>
  <c r="D262" i="1"/>
  <c r="E262" i="1"/>
  <c r="F262" i="1"/>
  <c r="G262" i="1"/>
  <c r="H262" i="1"/>
  <c r="I262" i="1"/>
  <c r="J262" i="1"/>
  <c r="K262" i="1"/>
  <c r="L262" i="1"/>
  <c r="M262" i="1"/>
  <c r="N262" i="1"/>
  <c r="O262" i="1"/>
  <c r="P262" i="1"/>
  <c r="Q262" i="1"/>
  <c r="A263" i="1"/>
  <c r="B263" i="1"/>
  <c r="C263" i="1"/>
  <c r="D263" i="1"/>
  <c r="E263" i="1"/>
  <c r="F263" i="1"/>
  <c r="G263" i="1"/>
  <c r="H263" i="1"/>
  <c r="I263" i="1"/>
  <c r="J263" i="1"/>
  <c r="K263" i="1"/>
  <c r="L263" i="1"/>
  <c r="M263" i="1"/>
  <c r="N263" i="1"/>
  <c r="O263" i="1"/>
  <c r="P263" i="1"/>
  <c r="Q263" i="1"/>
  <c r="A264" i="1"/>
  <c r="B264" i="1"/>
  <c r="C264" i="1"/>
  <c r="D264" i="1"/>
  <c r="E264" i="1"/>
  <c r="F264" i="1"/>
  <c r="G264" i="1"/>
  <c r="H264" i="1"/>
  <c r="I264" i="1"/>
  <c r="J264" i="1"/>
  <c r="K264" i="1"/>
  <c r="L264" i="1"/>
  <c r="M264" i="1"/>
  <c r="N264" i="1"/>
  <c r="O264" i="1"/>
  <c r="P264" i="1"/>
  <c r="Q264" i="1"/>
  <c r="A265" i="1"/>
  <c r="B265" i="1"/>
  <c r="C265" i="1"/>
  <c r="E265" i="1"/>
  <c r="F265" i="1"/>
  <c r="G265" i="1"/>
  <c r="H265" i="1"/>
  <c r="I265" i="1"/>
  <c r="J265" i="1"/>
  <c r="K265" i="1"/>
  <c r="L265" i="1"/>
  <c r="M265" i="1"/>
  <c r="N265" i="1"/>
  <c r="O265" i="1"/>
  <c r="P265" i="1"/>
  <c r="Q265" i="1"/>
  <c r="A266" i="1"/>
  <c r="B266" i="1"/>
  <c r="C266" i="1"/>
  <c r="D266" i="1"/>
  <c r="E266" i="1"/>
  <c r="F266" i="1"/>
  <c r="G266" i="1"/>
  <c r="H266" i="1"/>
  <c r="I266" i="1"/>
  <c r="J266" i="1"/>
  <c r="K266" i="1"/>
  <c r="L266" i="1"/>
  <c r="M266" i="1"/>
  <c r="N266" i="1"/>
  <c r="O266" i="1"/>
  <c r="P266" i="1"/>
  <c r="Q266" i="1"/>
  <c r="A267" i="1"/>
  <c r="B267" i="1"/>
  <c r="C267" i="1"/>
  <c r="E267" i="1"/>
  <c r="F267" i="1"/>
  <c r="G267" i="1"/>
  <c r="H267" i="1"/>
  <c r="I267" i="1"/>
  <c r="J267" i="1"/>
  <c r="K267" i="1"/>
  <c r="L267" i="1"/>
  <c r="M267" i="1"/>
  <c r="N267" i="1"/>
  <c r="O267" i="1"/>
  <c r="P267" i="1"/>
  <c r="Q267" i="1"/>
  <c r="A268" i="1"/>
  <c r="B268" i="1"/>
  <c r="C268" i="1"/>
  <c r="E268" i="1"/>
  <c r="F268" i="1"/>
  <c r="G268" i="1"/>
  <c r="H268" i="1"/>
  <c r="I268" i="1"/>
  <c r="J268" i="1"/>
  <c r="K268" i="1"/>
  <c r="L268" i="1"/>
  <c r="M268" i="1"/>
  <c r="N268" i="1"/>
  <c r="O268" i="1"/>
  <c r="P268" i="1"/>
  <c r="Q268" i="1"/>
  <c r="A269" i="1"/>
  <c r="B269" i="1"/>
  <c r="C269" i="1"/>
  <c r="E269" i="1"/>
  <c r="F269" i="1"/>
  <c r="G269" i="1"/>
  <c r="H269" i="1"/>
  <c r="I269" i="1"/>
  <c r="J269" i="1"/>
  <c r="K269" i="1"/>
  <c r="L269" i="1"/>
  <c r="M269" i="1"/>
  <c r="N269" i="1"/>
  <c r="O269" i="1"/>
  <c r="P269" i="1"/>
  <c r="Q269" i="1"/>
  <c r="A270" i="1"/>
  <c r="B270" i="1"/>
  <c r="C270" i="1"/>
  <c r="D270" i="1"/>
  <c r="E270" i="1"/>
  <c r="F270" i="1"/>
  <c r="G270" i="1"/>
  <c r="H270" i="1"/>
  <c r="I270" i="1"/>
  <c r="J270" i="1"/>
  <c r="K270" i="1"/>
  <c r="L270" i="1"/>
  <c r="M270" i="1"/>
  <c r="N270" i="1"/>
  <c r="O270" i="1"/>
  <c r="P270" i="1"/>
  <c r="Q270" i="1"/>
  <c r="A271" i="1"/>
  <c r="B271" i="1"/>
  <c r="C271" i="1"/>
  <c r="D271" i="1"/>
  <c r="E271" i="1"/>
  <c r="F271" i="1"/>
  <c r="G271" i="1"/>
  <c r="H271" i="1"/>
  <c r="I271" i="1"/>
  <c r="J271" i="1"/>
  <c r="K271" i="1"/>
  <c r="L271" i="1"/>
  <c r="M271" i="1"/>
  <c r="N271" i="1"/>
  <c r="O271" i="1"/>
  <c r="P271" i="1"/>
  <c r="Q271" i="1"/>
  <c r="A272" i="1"/>
  <c r="B272" i="1"/>
  <c r="C272" i="1"/>
  <c r="D272" i="1"/>
  <c r="E272" i="1"/>
  <c r="F272" i="1"/>
  <c r="G272" i="1"/>
  <c r="H272" i="1"/>
  <c r="I272" i="1"/>
  <c r="J272" i="1"/>
  <c r="K272" i="1"/>
  <c r="L272" i="1"/>
  <c r="M272" i="1"/>
  <c r="N272" i="1"/>
  <c r="O272" i="1"/>
  <c r="P272" i="1"/>
  <c r="Q272" i="1"/>
  <c r="A273" i="1"/>
  <c r="B273" i="1"/>
  <c r="C273" i="1"/>
  <c r="E273" i="1"/>
  <c r="F273" i="1"/>
  <c r="G273" i="1"/>
  <c r="H273" i="1"/>
  <c r="I273" i="1"/>
  <c r="J273" i="1"/>
  <c r="K273" i="1"/>
  <c r="L273" i="1"/>
  <c r="M273" i="1"/>
  <c r="N273" i="1"/>
  <c r="O273" i="1"/>
  <c r="P273" i="1"/>
  <c r="Q273" i="1"/>
  <c r="A274" i="1"/>
  <c r="B274" i="1"/>
  <c r="C274" i="1"/>
  <c r="E274" i="1"/>
  <c r="F274" i="1"/>
  <c r="G274" i="1"/>
  <c r="H274" i="1"/>
  <c r="I274" i="1"/>
  <c r="J274" i="1"/>
  <c r="K274" i="1"/>
  <c r="L274" i="1"/>
  <c r="M274" i="1"/>
  <c r="N274" i="1"/>
  <c r="O274" i="1"/>
  <c r="P274" i="1"/>
  <c r="Q274" i="1"/>
  <c r="A275" i="1"/>
  <c r="B275" i="1"/>
  <c r="C275" i="1"/>
  <c r="E275" i="1"/>
  <c r="F275" i="1"/>
  <c r="G275" i="1"/>
  <c r="H275" i="1"/>
  <c r="I275" i="1"/>
  <c r="J275" i="1"/>
  <c r="K275" i="1"/>
  <c r="L275" i="1"/>
  <c r="M275" i="1"/>
  <c r="N275" i="1"/>
  <c r="O275" i="1"/>
  <c r="P275" i="1"/>
  <c r="Q275" i="1"/>
  <c r="A276" i="1"/>
  <c r="B276" i="1"/>
  <c r="C276" i="1"/>
  <c r="E276" i="1"/>
  <c r="F276" i="1"/>
  <c r="G276" i="1"/>
  <c r="H276" i="1"/>
  <c r="I276" i="1"/>
  <c r="J276" i="1"/>
  <c r="K276" i="1"/>
  <c r="L276" i="1"/>
  <c r="M276" i="1"/>
  <c r="N276" i="1"/>
  <c r="O276" i="1"/>
  <c r="P276" i="1"/>
  <c r="Q276" i="1"/>
  <c r="A277" i="1"/>
  <c r="B277" i="1"/>
  <c r="C277" i="1"/>
  <c r="E277" i="1"/>
  <c r="F277" i="1"/>
  <c r="G277" i="1"/>
  <c r="H277" i="1"/>
  <c r="I277" i="1"/>
  <c r="J277" i="1"/>
  <c r="K277" i="1"/>
  <c r="L277" i="1"/>
  <c r="M277" i="1"/>
  <c r="N277" i="1"/>
  <c r="O277" i="1"/>
  <c r="P277" i="1"/>
  <c r="Q277" i="1"/>
  <c r="A278" i="1"/>
  <c r="B278" i="1"/>
  <c r="C278" i="1"/>
  <c r="E278" i="1"/>
  <c r="F278" i="1"/>
  <c r="G278" i="1"/>
  <c r="H278" i="1"/>
  <c r="I278" i="1"/>
  <c r="J278" i="1"/>
  <c r="K278" i="1"/>
  <c r="L278" i="1"/>
  <c r="M278" i="1"/>
  <c r="N278" i="1"/>
  <c r="O278" i="1"/>
  <c r="P278" i="1"/>
  <c r="Q278" i="1"/>
  <c r="A279" i="1"/>
  <c r="B279" i="1"/>
  <c r="C279" i="1"/>
  <c r="E279" i="1"/>
  <c r="F279" i="1"/>
  <c r="G279" i="1"/>
  <c r="H279" i="1"/>
  <c r="I279" i="1"/>
  <c r="J279" i="1"/>
  <c r="K279" i="1"/>
  <c r="L279" i="1"/>
  <c r="M279" i="1"/>
  <c r="N279" i="1"/>
  <c r="O279" i="1"/>
  <c r="P279" i="1"/>
  <c r="Q279" i="1"/>
  <c r="A280" i="1"/>
  <c r="B280" i="1"/>
  <c r="C280" i="1"/>
  <c r="E280" i="1"/>
  <c r="F280" i="1"/>
  <c r="G280" i="1"/>
  <c r="H280" i="1"/>
  <c r="I280" i="1"/>
  <c r="J280" i="1"/>
  <c r="K280" i="1"/>
  <c r="L280" i="1"/>
  <c r="M280" i="1"/>
  <c r="N280" i="1"/>
  <c r="O280" i="1"/>
  <c r="P280" i="1"/>
  <c r="Q280" i="1"/>
  <c r="A281" i="1"/>
  <c r="B281" i="1"/>
  <c r="C281" i="1"/>
  <c r="E281" i="1"/>
  <c r="F281" i="1"/>
  <c r="G281" i="1"/>
  <c r="H281" i="1"/>
  <c r="I281" i="1"/>
  <c r="J281" i="1"/>
  <c r="K281" i="1"/>
  <c r="L281" i="1"/>
  <c r="M281" i="1"/>
  <c r="N281" i="1"/>
  <c r="O281" i="1"/>
  <c r="P281" i="1"/>
  <c r="Q281" i="1"/>
  <c r="A282" i="1"/>
  <c r="B282" i="1"/>
  <c r="C282" i="1"/>
  <c r="E282" i="1"/>
  <c r="F282" i="1"/>
  <c r="G282" i="1"/>
  <c r="H282" i="1"/>
  <c r="I282" i="1"/>
  <c r="J282" i="1"/>
  <c r="K282" i="1"/>
  <c r="L282" i="1"/>
  <c r="M282" i="1"/>
  <c r="N282" i="1"/>
  <c r="O282" i="1"/>
  <c r="P282" i="1"/>
  <c r="Q282" i="1"/>
  <c r="A283" i="1"/>
  <c r="B283" i="1"/>
  <c r="C283" i="1"/>
  <c r="E283" i="1"/>
  <c r="F283" i="1"/>
  <c r="G283" i="1"/>
  <c r="H283" i="1"/>
  <c r="I283" i="1"/>
  <c r="J283" i="1"/>
  <c r="K283" i="1"/>
  <c r="L283" i="1"/>
  <c r="M283" i="1"/>
  <c r="N283" i="1"/>
  <c r="O283" i="1"/>
  <c r="P283" i="1"/>
  <c r="Q283" i="1"/>
  <c r="A284" i="1"/>
  <c r="B284" i="1"/>
  <c r="C284" i="1"/>
  <c r="E284" i="1"/>
  <c r="F284" i="1"/>
  <c r="G284" i="1"/>
  <c r="H284" i="1"/>
  <c r="I284" i="1"/>
  <c r="J284" i="1"/>
  <c r="K284" i="1"/>
  <c r="L284" i="1"/>
  <c r="M284" i="1"/>
  <c r="N284" i="1"/>
  <c r="O284" i="1"/>
  <c r="P284" i="1"/>
  <c r="Q284" i="1"/>
  <c r="A285" i="1"/>
  <c r="B285" i="1"/>
  <c r="C285" i="1"/>
  <c r="D285" i="1"/>
  <c r="E285" i="1"/>
  <c r="F285" i="1"/>
  <c r="G285" i="1"/>
  <c r="H285" i="1"/>
  <c r="I285" i="1"/>
  <c r="J285" i="1"/>
  <c r="K285" i="1"/>
  <c r="L285" i="1"/>
  <c r="M285" i="1"/>
  <c r="N285" i="1"/>
  <c r="O285" i="1"/>
  <c r="P285" i="1"/>
  <c r="Q285" i="1"/>
  <c r="A286" i="1"/>
  <c r="B286" i="1"/>
  <c r="C286" i="1"/>
  <c r="D286" i="1"/>
  <c r="E286" i="1"/>
  <c r="F286" i="1"/>
  <c r="G286" i="1"/>
  <c r="H286" i="1"/>
  <c r="I286" i="1"/>
  <c r="J286" i="1"/>
  <c r="K286" i="1"/>
  <c r="L286" i="1"/>
  <c r="M286" i="1"/>
  <c r="N286" i="1"/>
  <c r="O286" i="1"/>
  <c r="P286" i="1"/>
  <c r="Q286" i="1"/>
  <c r="A287" i="1"/>
  <c r="B287" i="1"/>
  <c r="C287" i="1"/>
  <c r="E287" i="1"/>
  <c r="F287" i="1"/>
  <c r="G287" i="1"/>
  <c r="H287" i="1"/>
  <c r="I287" i="1"/>
  <c r="J287" i="1"/>
  <c r="K287" i="1"/>
  <c r="L287" i="1"/>
  <c r="M287" i="1"/>
  <c r="N287" i="1"/>
  <c r="O287" i="1"/>
  <c r="P287" i="1"/>
  <c r="Q287" i="1"/>
  <c r="A288" i="1"/>
  <c r="B288" i="1"/>
  <c r="C288" i="1"/>
  <c r="E288" i="1"/>
  <c r="F288" i="1"/>
  <c r="G288" i="1"/>
  <c r="H288" i="1"/>
  <c r="I288" i="1"/>
  <c r="J288" i="1"/>
  <c r="K288" i="1"/>
  <c r="L288" i="1"/>
  <c r="M288" i="1"/>
  <c r="N288" i="1"/>
  <c r="O288" i="1"/>
  <c r="P288" i="1"/>
  <c r="Q288" i="1"/>
  <c r="A289" i="1"/>
  <c r="B289" i="1"/>
  <c r="C289" i="1"/>
  <c r="D289" i="1"/>
  <c r="E289" i="1"/>
  <c r="F289" i="1"/>
  <c r="G289" i="1"/>
  <c r="H289" i="1"/>
  <c r="I289" i="1"/>
  <c r="J289" i="1"/>
  <c r="K289" i="1"/>
  <c r="L289" i="1"/>
  <c r="M289" i="1"/>
  <c r="N289" i="1"/>
  <c r="O289" i="1"/>
  <c r="P289" i="1"/>
  <c r="Q289" i="1"/>
  <c r="A290" i="1"/>
  <c r="B290" i="1"/>
  <c r="C290" i="1"/>
  <c r="D290" i="1"/>
  <c r="E290" i="1"/>
  <c r="F290" i="1"/>
  <c r="G290" i="1"/>
  <c r="H290" i="1"/>
  <c r="I290" i="1"/>
  <c r="J290" i="1"/>
  <c r="K290" i="1"/>
  <c r="L290" i="1"/>
  <c r="M290" i="1"/>
  <c r="N290" i="1"/>
  <c r="O290" i="1"/>
  <c r="P290" i="1"/>
  <c r="Q290" i="1"/>
  <c r="A291" i="1"/>
  <c r="B291" i="1"/>
  <c r="C291" i="1"/>
  <c r="E291" i="1"/>
  <c r="F291" i="1"/>
  <c r="G291" i="1"/>
  <c r="H291" i="1"/>
  <c r="I291" i="1"/>
  <c r="J291" i="1"/>
  <c r="K291" i="1"/>
  <c r="L291" i="1"/>
  <c r="M291" i="1"/>
  <c r="N291" i="1"/>
  <c r="O291" i="1"/>
  <c r="P291" i="1"/>
  <c r="Q291" i="1"/>
  <c r="A292" i="1"/>
  <c r="B292" i="1"/>
  <c r="C292" i="1"/>
  <c r="E292" i="1"/>
  <c r="F292" i="1"/>
  <c r="G292" i="1"/>
  <c r="H292" i="1"/>
  <c r="I292" i="1"/>
  <c r="J292" i="1"/>
  <c r="K292" i="1"/>
  <c r="L292" i="1"/>
  <c r="M292" i="1"/>
  <c r="N292" i="1"/>
  <c r="O292" i="1"/>
  <c r="P292" i="1"/>
  <c r="Q292" i="1"/>
  <c r="A293" i="1"/>
  <c r="B293" i="1"/>
  <c r="C293" i="1"/>
  <c r="E293" i="1"/>
  <c r="F293" i="1"/>
  <c r="G293" i="1"/>
  <c r="H293" i="1"/>
  <c r="I293" i="1"/>
  <c r="J293" i="1"/>
  <c r="K293" i="1"/>
  <c r="L293" i="1"/>
  <c r="M293" i="1"/>
  <c r="N293" i="1"/>
  <c r="O293" i="1"/>
  <c r="P293" i="1"/>
  <c r="Q293" i="1"/>
  <c r="A294" i="1"/>
  <c r="B294" i="1"/>
  <c r="C294" i="1"/>
  <c r="E294" i="1"/>
  <c r="F294" i="1"/>
  <c r="G294" i="1"/>
  <c r="H294" i="1"/>
  <c r="I294" i="1"/>
  <c r="J294" i="1"/>
  <c r="K294" i="1"/>
  <c r="L294" i="1"/>
  <c r="M294" i="1"/>
  <c r="N294" i="1"/>
  <c r="O294" i="1"/>
  <c r="P294" i="1"/>
  <c r="Q294" i="1"/>
  <c r="A295" i="1"/>
  <c r="B295" i="1"/>
  <c r="C295" i="1"/>
  <c r="D295" i="1"/>
  <c r="E295" i="1"/>
  <c r="F295" i="1"/>
  <c r="G295" i="1"/>
  <c r="H295" i="1"/>
  <c r="I295" i="1"/>
  <c r="J295" i="1"/>
  <c r="K295" i="1"/>
  <c r="L295" i="1"/>
  <c r="M295" i="1"/>
  <c r="N295" i="1"/>
  <c r="O295" i="1"/>
  <c r="P295" i="1"/>
  <c r="Q295" i="1"/>
  <c r="A296" i="1"/>
  <c r="B296" i="1"/>
  <c r="C296" i="1"/>
  <c r="D296" i="1"/>
  <c r="E296" i="1"/>
  <c r="F296" i="1"/>
  <c r="G296" i="1"/>
  <c r="H296" i="1"/>
  <c r="I296" i="1"/>
  <c r="J296" i="1"/>
  <c r="K296" i="1"/>
  <c r="L296" i="1"/>
  <c r="M296" i="1"/>
  <c r="N296" i="1"/>
  <c r="O296" i="1"/>
  <c r="P296" i="1"/>
  <c r="Q296" i="1"/>
  <c r="A297" i="1"/>
  <c r="B297" i="1"/>
  <c r="C297" i="1"/>
  <c r="D297" i="1"/>
  <c r="E297" i="1"/>
  <c r="F297" i="1"/>
  <c r="G297" i="1"/>
  <c r="H297" i="1"/>
  <c r="I297" i="1"/>
  <c r="J297" i="1"/>
  <c r="K297" i="1"/>
  <c r="L297" i="1"/>
  <c r="M297" i="1"/>
  <c r="N297" i="1"/>
  <c r="O297" i="1"/>
  <c r="P297" i="1"/>
  <c r="Q297" i="1"/>
  <c r="A298" i="1"/>
  <c r="B298" i="1"/>
  <c r="C298" i="1"/>
  <c r="D298" i="1"/>
  <c r="E298" i="1"/>
  <c r="F298" i="1"/>
  <c r="G298" i="1"/>
  <c r="H298" i="1"/>
  <c r="I298" i="1"/>
  <c r="J298" i="1"/>
  <c r="K298" i="1"/>
  <c r="L298" i="1"/>
  <c r="M298" i="1"/>
  <c r="N298" i="1"/>
  <c r="O298" i="1"/>
  <c r="P298" i="1"/>
  <c r="Q298" i="1"/>
  <c r="A299" i="1"/>
  <c r="B299" i="1"/>
  <c r="C299" i="1"/>
  <c r="E299" i="1"/>
  <c r="F299" i="1"/>
  <c r="G299" i="1"/>
  <c r="H299" i="1"/>
  <c r="I299" i="1"/>
  <c r="J299" i="1"/>
  <c r="K299" i="1"/>
  <c r="L299" i="1"/>
  <c r="M299" i="1"/>
  <c r="N299" i="1"/>
  <c r="O299" i="1"/>
  <c r="P299" i="1"/>
  <c r="Q299" i="1"/>
  <c r="A300" i="1"/>
  <c r="B300" i="1"/>
  <c r="C300" i="1"/>
  <c r="E300" i="1"/>
  <c r="F300" i="1"/>
  <c r="G300" i="1"/>
  <c r="H300" i="1"/>
  <c r="I300" i="1"/>
  <c r="J300" i="1"/>
  <c r="K300" i="1"/>
  <c r="L300" i="1"/>
  <c r="M300" i="1"/>
  <c r="N300" i="1"/>
  <c r="O300" i="1"/>
  <c r="P300" i="1"/>
  <c r="Q300" i="1"/>
  <c r="A301" i="1"/>
  <c r="B301" i="1"/>
  <c r="C301" i="1"/>
  <c r="D301" i="1"/>
  <c r="E301" i="1"/>
  <c r="F301" i="1"/>
  <c r="G301" i="1"/>
  <c r="H301" i="1"/>
  <c r="I301" i="1"/>
  <c r="J301" i="1"/>
  <c r="K301" i="1"/>
  <c r="L301" i="1"/>
  <c r="M301" i="1"/>
  <c r="N301" i="1"/>
  <c r="O301" i="1"/>
  <c r="P301" i="1"/>
  <c r="Q301" i="1"/>
  <c r="A302" i="1"/>
  <c r="B302" i="1"/>
  <c r="C302" i="1"/>
  <c r="D302" i="1"/>
  <c r="E302" i="1"/>
  <c r="F302" i="1"/>
  <c r="G302" i="1"/>
  <c r="H302" i="1"/>
  <c r="I302" i="1"/>
  <c r="J302" i="1"/>
  <c r="K302" i="1"/>
  <c r="L302" i="1"/>
  <c r="M302" i="1"/>
  <c r="N302" i="1"/>
  <c r="O302" i="1"/>
  <c r="P302" i="1"/>
  <c r="Q302" i="1"/>
  <c r="A303" i="1"/>
  <c r="B303" i="1"/>
  <c r="C303" i="1"/>
  <c r="E303" i="1"/>
  <c r="F303" i="1"/>
  <c r="G303" i="1"/>
  <c r="H303" i="1"/>
  <c r="I303" i="1"/>
  <c r="J303" i="1"/>
  <c r="K303" i="1"/>
  <c r="L303" i="1"/>
  <c r="M303" i="1"/>
  <c r="N303" i="1"/>
  <c r="O303" i="1"/>
  <c r="P303" i="1"/>
  <c r="Q303" i="1"/>
  <c r="A304" i="1"/>
  <c r="B304" i="1"/>
  <c r="C304" i="1"/>
  <c r="E304" i="1"/>
  <c r="F304" i="1"/>
  <c r="G304" i="1"/>
  <c r="H304" i="1"/>
  <c r="I304" i="1"/>
  <c r="J304" i="1"/>
  <c r="K304" i="1"/>
  <c r="L304" i="1"/>
  <c r="M304" i="1"/>
  <c r="N304" i="1"/>
  <c r="O304" i="1"/>
  <c r="P304" i="1"/>
  <c r="Q304" i="1"/>
  <c r="A305" i="1"/>
  <c r="B305" i="1"/>
  <c r="C305" i="1"/>
  <c r="D305" i="1"/>
  <c r="E305" i="1"/>
  <c r="F305" i="1"/>
  <c r="G305" i="1"/>
  <c r="H305" i="1"/>
  <c r="I305" i="1"/>
  <c r="J305" i="1"/>
  <c r="K305" i="1"/>
  <c r="L305" i="1"/>
  <c r="M305" i="1"/>
  <c r="N305" i="1"/>
  <c r="O305" i="1"/>
  <c r="P305" i="1"/>
  <c r="Q305" i="1"/>
  <c r="A306" i="1"/>
  <c r="B306" i="1"/>
  <c r="C306" i="1"/>
  <c r="D306" i="1"/>
  <c r="E306" i="1"/>
  <c r="F306" i="1"/>
  <c r="G306" i="1"/>
  <c r="H306" i="1"/>
  <c r="I306" i="1"/>
  <c r="J306" i="1"/>
  <c r="K306" i="1"/>
  <c r="L306" i="1"/>
  <c r="M306" i="1"/>
  <c r="N306" i="1"/>
  <c r="O306" i="1"/>
  <c r="P306" i="1"/>
  <c r="Q306" i="1"/>
  <c r="A307" i="1"/>
  <c r="B307" i="1"/>
  <c r="C307" i="1"/>
  <c r="D307" i="1"/>
  <c r="E307" i="1"/>
  <c r="F307" i="1"/>
  <c r="G307" i="1"/>
  <c r="H307" i="1"/>
  <c r="I307" i="1"/>
  <c r="J307" i="1"/>
  <c r="K307" i="1"/>
  <c r="L307" i="1"/>
  <c r="M307" i="1"/>
  <c r="N307" i="1"/>
  <c r="O307" i="1"/>
  <c r="P307" i="1"/>
  <c r="Q307" i="1"/>
  <c r="A308" i="1"/>
  <c r="B308" i="1"/>
  <c r="C308" i="1"/>
  <c r="D308" i="1"/>
  <c r="E308" i="1"/>
  <c r="F308" i="1"/>
  <c r="G308" i="1"/>
  <c r="H308" i="1"/>
  <c r="I308" i="1"/>
  <c r="J308" i="1"/>
  <c r="K308" i="1"/>
  <c r="L308" i="1"/>
  <c r="M308" i="1"/>
  <c r="N308" i="1"/>
  <c r="O308" i="1"/>
  <c r="P308" i="1"/>
  <c r="Q308" i="1"/>
  <c r="A309" i="1"/>
  <c r="B309" i="1"/>
  <c r="C309" i="1"/>
  <c r="E309" i="1"/>
  <c r="F309" i="1"/>
  <c r="G309" i="1"/>
  <c r="H309" i="1"/>
  <c r="I309" i="1"/>
  <c r="J309" i="1"/>
  <c r="K309" i="1"/>
  <c r="L309" i="1"/>
  <c r="M309" i="1"/>
  <c r="N309" i="1"/>
  <c r="O309" i="1"/>
  <c r="P309" i="1"/>
  <c r="Q309" i="1"/>
  <c r="A310" i="1"/>
  <c r="B310" i="1"/>
  <c r="C310" i="1"/>
  <c r="E310" i="1"/>
  <c r="F310" i="1"/>
  <c r="G310" i="1"/>
  <c r="H310" i="1"/>
  <c r="I310" i="1"/>
  <c r="J310" i="1"/>
  <c r="K310" i="1"/>
  <c r="L310" i="1"/>
  <c r="M310" i="1"/>
  <c r="N310" i="1"/>
  <c r="O310" i="1"/>
  <c r="P310" i="1"/>
  <c r="Q310" i="1"/>
  <c r="A311" i="1"/>
  <c r="B311" i="1"/>
  <c r="C311" i="1"/>
  <c r="E311" i="1"/>
  <c r="F311" i="1"/>
  <c r="G311" i="1"/>
  <c r="H311" i="1"/>
  <c r="I311" i="1"/>
  <c r="J311" i="1"/>
  <c r="K311" i="1"/>
  <c r="L311" i="1"/>
  <c r="M311" i="1"/>
  <c r="N311" i="1"/>
  <c r="O311" i="1"/>
  <c r="P311" i="1"/>
  <c r="Q311" i="1"/>
  <c r="A312" i="1"/>
  <c r="B312" i="1"/>
  <c r="C312" i="1"/>
  <c r="D312" i="1"/>
  <c r="E312" i="1"/>
  <c r="F312" i="1"/>
  <c r="G312" i="1"/>
  <c r="H312" i="1"/>
  <c r="I312" i="1"/>
  <c r="J312" i="1"/>
  <c r="K312" i="1"/>
  <c r="L312" i="1"/>
  <c r="M312" i="1"/>
  <c r="N312" i="1"/>
  <c r="O312" i="1"/>
  <c r="P312" i="1"/>
  <c r="Q312" i="1"/>
  <c r="A313" i="1"/>
  <c r="B313" i="1"/>
  <c r="C313" i="1"/>
  <c r="E313" i="1"/>
  <c r="F313" i="1"/>
  <c r="G313" i="1"/>
  <c r="H313" i="1"/>
  <c r="I313" i="1"/>
  <c r="J313" i="1"/>
  <c r="K313" i="1"/>
  <c r="L313" i="1"/>
  <c r="M313" i="1"/>
  <c r="N313" i="1"/>
  <c r="O313" i="1"/>
  <c r="P313" i="1"/>
  <c r="Q313" i="1"/>
  <c r="A314" i="1"/>
  <c r="B314" i="1"/>
  <c r="C314" i="1"/>
  <c r="E314" i="1"/>
  <c r="F314" i="1"/>
  <c r="G314" i="1"/>
  <c r="H314" i="1"/>
  <c r="I314" i="1"/>
  <c r="J314" i="1"/>
  <c r="K314" i="1"/>
  <c r="L314" i="1"/>
  <c r="M314" i="1"/>
  <c r="N314" i="1"/>
  <c r="O314" i="1"/>
  <c r="P314" i="1"/>
  <c r="Q314" i="1"/>
  <c r="A315" i="1"/>
  <c r="B315" i="1"/>
  <c r="C315" i="1"/>
  <c r="D315" i="1"/>
  <c r="E315" i="1"/>
  <c r="F315" i="1"/>
  <c r="G315" i="1"/>
  <c r="H315" i="1"/>
  <c r="I315" i="1"/>
  <c r="J315" i="1"/>
  <c r="K315" i="1"/>
  <c r="L315" i="1"/>
  <c r="M315" i="1"/>
  <c r="N315" i="1"/>
  <c r="O315" i="1"/>
  <c r="P315" i="1"/>
  <c r="Q315" i="1"/>
  <c r="A316" i="1"/>
  <c r="B316" i="1"/>
  <c r="C316" i="1"/>
  <c r="D316" i="1"/>
  <c r="E316" i="1"/>
  <c r="F316" i="1"/>
  <c r="G316" i="1"/>
  <c r="H316" i="1"/>
  <c r="I316" i="1"/>
  <c r="J316" i="1"/>
  <c r="K316" i="1"/>
  <c r="L316" i="1"/>
  <c r="M316" i="1"/>
  <c r="N316" i="1"/>
  <c r="O316" i="1"/>
  <c r="P316" i="1"/>
  <c r="Q316" i="1"/>
  <c r="A317" i="1"/>
  <c r="B317" i="1"/>
  <c r="C317" i="1"/>
  <c r="D317" i="1"/>
  <c r="E317" i="1"/>
  <c r="F317" i="1"/>
  <c r="G317" i="1"/>
  <c r="H317" i="1"/>
  <c r="I317" i="1"/>
  <c r="J317" i="1"/>
  <c r="K317" i="1"/>
  <c r="L317" i="1"/>
  <c r="M317" i="1"/>
  <c r="N317" i="1"/>
  <c r="O317" i="1"/>
  <c r="P317" i="1"/>
  <c r="Q317" i="1"/>
  <c r="A318" i="1"/>
  <c r="B318" i="1"/>
  <c r="C318" i="1"/>
  <c r="E318" i="1"/>
  <c r="F318" i="1"/>
  <c r="G318" i="1"/>
  <c r="H318" i="1"/>
  <c r="I318" i="1"/>
  <c r="J318" i="1"/>
  <c r="K318" i="1"/>
  <c r="L318" i="1"/>
  <c r="M318" i="1"/>
  <c r="N318" i="1"/>
  <c r="O318" i="1"/>
  <c r="P318" i="1"/>
  <c r="Q318" i="1"/>
  <c r="A319" i="1"/>
  <c r="B319" i="1"/>
  <c r="C319" i="1"/>
  <c r="D319" i="1"/>
  <c r="E319" i="1"/>
  <c r="F319" i="1"/>
  <c r="G319" i="1"/>
  <c r="H319" i="1"/>
  <c r="I319" i="1"/>
  <c r="J319" i="1"/>
  <c r="K319" i="1"/>
  <c r="L319" i="1"/>
  <c r="M319" i="1"/>
  <c r="N319" i="1"/>
  <c r="O319" i="1"/>
  <c r="P319" i="1"/>
  <c r="Q319" i="1"/>
  <c r="A320" i="1"/>
  <c r="B320" i="1"/>
  <c r="C320" i="1"/>
  <c r="E320" i="1"/>
  <c r="F320" i="1"/>
  <c r="G320" i="1"/>
  <c r="H320" i="1"/>
  <c r="I320" i="1"/>
  <c r="J320" i="1"/>
  <c r="K320" i="1"/>
  <c r="L320" i="1"/>
  <c r="M320" i="1"/>
  <c r="N320" i="1"/>
  <c r="O320" i="1"/>
  <c r="P320" i="1"/>
  <c r="Q320" i="1"/>
  <c r="A321" i="1"/>
  <c r="B321" i="1"/>
  <c r="C321" i="1"/>
  <c r="E321" i="1"/>
  <c r="F321" i="1"/>
  <c r="G321" i="1"/>
  <c r="H321" i="1"/>
  <c r="I321" i="1"/>
  <c r="J321" i="1"/>
  <c r="K321" i="1"/>
  <c r="L321" i="1"/>
  <c r="M321" i="1"/>
  <c r="N321" i="1"/>
  <c r="O321" i="1"/>
  <c r="P321" i="1"/>
  <c r="Q321" i="1"/>
  <c r="A322" i="1"/>
  <c r="B322" i="1"/>
  <c r="C322" i="1"/>
  <c r="D322" i="1"/>
  <c r="E322" i="1"/>
  <c r="F322" i="1"/>
  <c r="G322" i="1"/>
  <c r="H322" i="1"/>
  <c r="I322" i="1"/>
  <c r="J322" i="1"/>
  <c r="K322" i="1"/>
  <c r="L322" i="1"/>
  <c r="M322" i="1"/>
  <c r="N322" i="1"/>
  <c r="O322" i="1"/>
  <c r="P322" i="1"/>
  <c r="Q322" i="1"/>
  <c r="A323" i="1"/>
  <c r="B323" i="1"/>
  <c r="C323" i="1"/>
  <c r="D323" i="1"/>
  <c r="E323" i="1"/>
  <c r="F323" i="1"/>
  <c r="G323" i="1"/>
  <c r="H323" i="1"/>
  <c r="I323" i="1"/>
  <c r="J323" i="1"/>
  <c r="K323" i="1"/>
  <c r="L323" i="1"/>
  <c r="M323" i="1"/>
  <c r="N323" i="1"/>
  <c r="O323" i="1"/>
  <c r="P323" i="1"/>
  <c r="Q323" i="1"/>
  <c r="A324" i="1"/>
  <c r="B324" i="1"/>
  <c r="C324" i="1"/>
  <c r="D324" i="1"/>
  <c r="E324" i="1"/>
  <c r="F324" i="1"/>
  <c r="G324" i="1"/>
  <c r="H324" i="1"/>
  <c r="I324" i="1"/>
  <c r="J324" i="1"/>
  <c r="K324" i="1"/>
  <c r="L324" i="1"/>
  <c r="M324" i="1"/>
  <c r="N324" i="1"/>
  <c r="O324" i="1"/>
  <c r="P324" i="1"/>
  <c r="Q324" i="1"/>
  <c r="A325" i="1"/>
  <c r="B325" i="1"/>
  <c r="C325" i="1"/>
  <c r="E325" i="1"/>
  <c r="F325" i="1"/>
  <c r="G325" i="1"/>
  <c r="H325" i="1"/>
  <c r="I325" i="1"/>
  <c r="J325" i="1"/>
  <c r="K325" i="1"/>
  <c r="L325" i="1"/>
  <c r="M325" i="1"/>
  <c r="N325" i="1"/>
  <c r="O325" i="1"/>
  <c r="P325" i="1"/>
  <c r="Q325" i="1"/>
  <c r="A326" i="1"/>
  <c r="B326" i="1"/>
  <c r="C326" i="1"/>
  <c r="D326" i="1"/>
  <c r="E326" i="1"/>
  <c r="F326" i="1"/>
  <c r="G326" i="1"/>
  <c r="H326" i="1"/>
  <c r="I326" i="1"/>
  <c r="J326" i="1"/>
  <c r="K326" i="1"/>
  <c r="L326" i="1"/>
  <c r="M326" i="1"/>
  <c r="N326" i="1"/>
  <c r="O326" i="1"/>
  <c r="P326" i="1"/>
  <c r="Q326" i="1"/>
  <c r="A327" i="1"/>
  <c r="B327" i="1"/>
  <c r="C327" i="1"/>
  <c r="D327" i="1"/>
  <c r="E327" i="1"/>
  <c r="F327" i="1"/>
  <c r="G327" i="1"/>
  <c r="H327" i="1"/>
  <c r="I327" i="1"/>
  <c r="J327" i="1"/>
  <c r="K327" i="1"/>
  <c r="L327" i="1"/>
  <c r="M327" i="1"/>
  <c r="N327" i="1"/>
  <c r="O327" i="1"/>
  <c r="P327" i="1"/>
  <c r="Q327" i="1"/>
  <c r="A328" i="1"/>
  <c r="B328" i="1"/>
  <c r="C328" i="1"/>
  <c r="D328" i="1"/>
  <c r="E328" i="1"/>
  <c r="F328" i="1"/>
  <c r="G328" i="1"/>
  <c r="H328" i="1"/>
  <c r="I328" i="1"/>
  <c r="J328" i="1"/>
  <c r="K328" i="1"/>
  <c r="L328" i="1"/>
  <c r="M328" i="1"/>
  <c r="N328" i="1"/>
  <c r="O328" i="1"/>
  <c r="P328" i="1"/>
  <c r="Q328" i="1"/>
  <c r="A329" i="1"/>
  <c r="B329" i="1"/>
  <c r="C329" i="1"/>
  <c r="D329" i="1"/>
  <c r="E329" i="1"/>
  <c r="F329" i="1"/>
  <c r="G329" i="1"/>
  <c r="H329" i="1"/>
  <c r="I329" i="1"/>
  <c r="J329" i="1"/>
  <c r="K329" i="1"/>
  <c r="L329" i="1"/>
  <c r="M329" i="1"/>
  <c r="N329" i="1"/>
  <c r="O329" i="1"/>
  <c r="P329" i="1"/>
  <c r="Q329" i="1"/>
  <c r="A330" i="1"/>
  <c r="B330" i="1"/>
  <c r="C330" i="1"/>
  <c r="D330" i="1"/>
  <c r="E330" i="1"/>
  <c r="F330" i="1"/>
  <c r="G330" i="1"/>
  <c r="H330" i="1"/>
  <c r="I330" i="1"/>
  <c r="J330" i="1"/>
  <c r="K330" i="1"/>
  <c r="L330" i="1"/>
  <c r="M330" i="1"/>
  <c r="N330" i="1"/>
  <c r="O330" i="1"/>
  <c r="P330" i="1"/>
  <c r="Q330" i="1"/>
  <c r="A331" i="1"/>
  <c r="B331" i="1"/>
  <c r="C331" i="1"/>
  <c r="E331" i="1"/>
  <c r="F331" i="1"/>
  <c r="G331" i="1"/>
  <c r="H331" i="1"/>
  <c r="I331" i="1"/>
  <c r="J331" i="1"/>
  <c r="K331" i="1"/>
  <c r="L331" i="1"/>
  <c r="M331" i="1"/>
  <c r="N331" i="1"/>
  <c r="O331" i="1"/>
  <c r="P331" i="1"/>
  <c r="Q331" i="1"/>
  <c r="A332" i="1"/>
  <c r="B332" i="1"/>
  <c r="C332" i="1"/>
  <c r="D332" i="1"/>
  <c r="E332" i="1"/>
  <c r="F332" i="1"/>
  <c r="G332" i="1"/>
  <c r="H332" i="1"/>
  <c r="I332" i="1"/>
  <c r="J332" i="1"/>
  <c r="K332" i="1"/>
  <c r="L332" i="1"/>
  <c r="M332" i="1"/>
  <c r="N332" i="1"/>
  <c r="O332" i="1"/>
  <c r="P332" i="1"/>
  <c r="Q332" i="1"/>
  <c r="A333" i="1"/>
  <c r="B333" i="1"/>
  <c r="C333" i="1"/>
  <c r="E333" i="1"/>
  <c r="F333" i="1"/>
  <c r="G333" i="1"/>
  <c r="H333" i="1"/>
  <c r="I333" i="1"/>
  <c r="J333" i="1"/>
  <c r="K333" i="1"/>
  <c r="L333" i="1"/>
  <c r="M333" i="1"/>
  <c r="N333" i="1"/>
  <c r="O333" i="1"/>
  <c r="P333" i="1"/>
  <c r="Q333" i="1"/>
  <c r="A334" i="1"/>
  <c r="B334" i="1"/>
  <c r="C334" i="1"/>
  <c r="E334" i="1"/>
  <c r="F334" i="1"/>
  <c r="G334" i="1"/>
  <c r="H334" i="1"/>
  <c r="I334" i="1"/>
  <c r="J334" i="1"/>
  <c r="K334" i="1"/>
  <c r="L334" i="1"/>
  <c r="M334" i="1"/>
  <c r="N334" i="1"/>
  <c r="O334" i="1"/>
  <c r="P334" i="1"/>
  <c r="Q334" i="1"/>
  <c r="A335" i="1"/>
  <c r="B335" i="1"/>
  <c r="C335" i="1"/>
  <c r="D335" i="1"/>
  <c r="E335" i="1"/>
  <c r="F335" i="1"/>
  <c r="G335" i="1"/>
  <c r="H335" i="1"/>
  <c r="I335" i="1"/>
  <c r="J335" i="1"/>
  <c r="K335" i="1"/>
  <c r="L335" i="1"/>
  <c r="M335" i="1"/>
  <c r="N335" i="1"/>
  <c r="O335" i="1"/>
  <c r="P335" i="1"/>
  <c r="Q335" i="1"/>
  <c r="A336" i="1"/>
  <c r="B336" i="1"/>
  <c r="C336" i="1"/>
  <c r="D336" i="1"/>
  <c r="E336" i="1"/>
  <c r="F336" i="1"/>
  <c r="G336" i="1"/>
  <c r="H336" i="1"/>
  <c r="I336" i="1"/>
  <c r="J336" i="1"/>
  <c r="K336" i="1"/>
  <c r="L336" i="1"/>
  <c r="M336" i="1"/>
  <c r="N336" i="1"/>
  <c r="O336" i="1"/>
  <c r="P336" i="1"/>
  <c r="Q336" i="1"/>
  <c r="A337" i="1"/>
  <c r="B337" i="1"/>
  <c r="C337" i="1"/>
  <c r="E337" i="1"/>
  <c r="F337" i="1"/>
  <c r="G337" i="1"/>
  <c r="H337" i="1"/>
  <c r="I337" i="1"/>
  <c r="J337" i="1"/>
  <c r="K337" i="1"/>
  <c r="L337" i="1"/>
  <c r="M337" i="1"/>
  <c r="N337" i="1"/>
  <c r="O337" i="1"/>
  <c r="P337" i="1"/>
  <c r="Q337" i="1"/>
  <c r="A338" i="1"/>
  <c r="B338" i="1"/>
  <c r="C338" i="1"/>
  <c r="D338" i="1"/>
  <c r="E338" i="1"/>
  <c r="F338" i="1"/>
  <c r="G338" i="1"/>
  <c r="H338" i="1"/>
  <c r="I338" i="1"/>
  <c r="J338" i="1"/>
  <c r="K338" i="1"/>
  <c r="L338" i="1"/>
  <c r="M338" i="1"/>
  <c r="N338" i="1"/>
  <c r="O338" i="1"/>
  <c r="P338" i="1"/>
  <c r="Q338" i="1"/>
  <c r="A339" i="1"/>
  <c r="B339" i="1"/>
  <c r="C339" i="1"/>
  <c r="D339" i="1"/>
  <c r="E339" i="1"/>
  <c r="F339" i="1"/>
  <c r="G339" i="1"/>
  <c r="H339" i="1"/>
  <c r="I339" i="1"/>
  <c r="J339" i="1"/>
  <c r="K339" i="1"/>
  <c r="L339" i="1"/>
  <c r="M339" i="1"/>
  <c r="N339" i="1"/>
  <c r="O339" i="1"/>
  <c r="P339" i="1"/>
  <c r="Q339" i="1"/>
  <c r="A340" i="1"/>
  <c r="B340" i="1"/>
  <c r="C340" i="1"/>
  <c r="D340" i="1"/>
  <c r="E340" i="1"/>
  <c r="F340" i="1"/>
  <c r="G340" i="1"/>
  <c r="H340" i="1"/>
  <c r="I340" i="1"/>
  <c r="J340" i="1"/>
  <c r="K340" i="1"/>
  <c r="L340" i="1"/>
  <c r="M340" i="1"/>
  <c r="N340" i="1"/>
  <c r="O340" i="1"/>
  <c r="P340" i="1"/>
  <c r="Q340" i="1"/>
  <c r="A341" i="1"/>
  <c r="B341" i="1"/>
  <c r="C341" i="1"/>
  <c r="D341" i="1"/>
  <c r="E341" i="1"/>
  <c r="F341" i="1"/>
  <c r="G341" i="1"/>
  <c r="H341" i="1"/>
  <c r="I341" i="1"/>
  <c r="J341" i="1"/>
  <c r="K341" i="1"/>
  <c r="L341" i="1"/>
  <c r="M341" i="1"/>
  <c r="N341" i="1"/>
  <c r="O341" i="1"/>
  <c r="P341" i="1"/>
  <c r="Q341" i="1"/>
  <c r="A342" i="1"/>
  <c r="B342" i="1"/>
  <c r="C342" i="1"/>
  <c r="E342" i="1"/>
  <c r="F342" i="1"/>
  <c r="G342" i="1"/>
  <c r="H342" i="1"/>
  <c r="I342" i="1"/>
  <c r="J342" i="1"/>
  <c r="K342" i="1"/>
  <c r="L342" i="1"/>
  <c r="M342" i="1"/>
  <c r="N342" i="1"/>
  <c r="O342" i="1"/>
  <c r="P342" i="1"/>
  <c r="Q342" i="1"/>
  <c r="A343" i="1"/>
  <c r="B343" i="1"/>
  <c r="C343" i="1"/>
  <c r="E343" i="1"/>
  <c r="F343" i="1"/>
  <c r="G343" i="1"/>
  <c r="H343" i="1"/>
  <c r="I343" i="1"/>
  <c r="J343" i="1"/>
  <c r="K343" i="1"/>
  <c r="L343" i="1"/>
  <c r="M343" i="1"/>
  <c r="N343" i="1"/>
  <c r="O343" i="1"/>
  <c r="P343" i="1"/>
  <c r="Q343" i="1"/>
  <c r="A344" i="1"/>
  <c r="B344" i="1"/>
  <c r="C344" i="1"/>
  <c r="E344" i="1"/>
  <c r="F344" i="1"/>
  <c r="G344" i="1"/>
  <c r="H344" i="1"/>
  <c r="I344" i="1"/>
  <c r="J344" i="1"/>
  <c r="K344" i="1"/>
  <c r="L344" i="1"/>
  <c r="M344" i="1"/>
  <c r="N344" i="1"/>
  <c r="O344" i="1"/>
  <c r="P344" i="1"/>
  <c r="Q344" i="1"/>
  <c r="A345" i="1"/>
  <c r="B345" i="1"/>
  <c r="C345" i="1"/>
  <c r="D345" i="1"/>
  <c r="E345" i="1"/>
  <c r="F345" i="1"/>
  <c r="G345" i="1"/>
  <c r="H345" i="1"/>
  <c r="I345" i="1"/>
  <c r="J345" i="1"/>
  <c r="K345" i="1"/>
  <c r="L345" i="1"/>
  <c r="M345" i="1"/>
  <c r="N345" i="1"/>
  <c r="O345" i="1"/>
  <c r="P345" i="1"/>
  <c r="Q345" i="1"/>
  <c r="A346" i="1"/>
  <c r="B346" i="1"/>
  <c r="C346" i="1"/>
  <c r="D346" i="1"/>
  <c r="E346" i="1"/>
  <c r="F346" i="1"/>
  <c r="G346" i="1"/>
  <c r="H346" i="1"/>
  <c r="I346" i="1"/>
  <c r="J346" i="1"/>
  <c r="K346" i="1"/>
  <c r="L346" i="1"/>
  <c r="M346" i="1"/>
  <c r="N346" i="1"/>
  <c r="O346" i="1"/>
  <c r="P346" i="1"/>
  <c r="Q346" i="1"/>
  <c r="A347" i="1"/>
  <c r="B347" i="1"/>
  <c r="C347" i="1"/>
  <c r="D347" i="1"/>
  <c r="E347" i="1"/>
  <c r="F347" i="1"/>
  <c r="G347" i="1"/>
  <c r="H347" i="1"/>
  <c r="I347" i="1"/>
  <c r="J347" i="1"/>
  <c r="K347" i="1"/>
  <c r="L347" i="1"/>
  <c r="M347" i="1"/>
  <c r="N347" i="1"/>
  <c r="O347" i="1"/>
  <c r="P347" i="1"/>
  <c r="Q347" i="1"/>
  <c r="A348" i="1"/>
  <c r="B348" i="1"/>
  <c r="C348" i="1"/>
  <c r="D348" i="1"/>
  <c r="E348" i="1"/>
  <c r="F348" i="1"/>
  <c r="G348" i="1"/>
  <c r="H348" i="1"/>
  <c r="I348" i="1"/>
  <c r="J348" i="1"/>
  <c r="K348" i="1"/>
  <c r="L348" i="1"/>
  <c r="M348" i="1"/>
  <c r="N348" i="1"/>
  <c r="O348" i="1"/>
  <c r="P348" i="1"/>
  <c r="Q348" i="1"/>
  <c r="A349" i="1"/>
  <c r="B349" i="1"/>
  <c r="C349" i="1"/>
  <c r="D349" i="1"/>
  <c r="E349" i="1"/>
  <c r="F349" i="1"/>
  <c r="G349" i="1"/>
  <c r="H349" i="1"/>
  <c r="I349" i="1"/>
  <c r="J349" i="1"/>
  <c r="K349" i="1"/>
  <c r="L349" i="1"/>
  <c r="M349" i="1"/>
  <c r="N349" i="1"/>
  <c r="O349" i="1"/>
  <c r="P349" i="1"/>
  <c r="Q349" i="1"/>
  <c r="A350" i="1"/>
  <c r="B350" i="1"/>
  <c r="C350" i="1"/>
  <c r="E350" i="1"/>
  <c r="F350" i="1"/>
  <c r="G350" i="1"/>
  <c r="H350" i="1"/>
  <c r="I350" i="1"/>
  <c r="J350" i="1"/>
  <c r="K350" i="1"/>
  <c r="L350" i="1"/>
  <c r="M350" i="1"/>
  <c r="N350" i="1"/>
  <c r="O350" i="1"/>
  <c r="P350" i="1"/>
  <c r="Q350" i="1"/>
  <c r="A351" i="1"/>
  <c r="B351" i="1"/>
  <c r="C351" i="1"/>
  <c r="D351" i="1"/>
  <c r="E351" i="1"/>
  <c r="F351" i="1"/>
  <c r="G351" i="1"/>
  <c r="H351" i="1"/>
  <c r="I351" i="1"/>
  <c r="J351" i="1"/>
  <c r="K351" i="1"/>
  <c r="L351" i="1"/>
  <c r="M351" i="1"/>
  <c r="N351" i="1"/>
  <c r="O351" i="1"/>
  <c r="P351" i="1"/>
  <c r="Q351" i="1"/>
  <c r="A352" i="1"/>
  <c r="B352" i="1"/>
  <c r="C352" i="1"/>
  <c r="D352" i="1"/>
  <c r="E352" i="1"/>
  <c r="F352" i="1"/>
  <c r="G352" i="1"/>
  <c r="H352" i="1"/>
  <c r="I352" i="1"/>
  <c r="J352" i="1"/>
  <c r="K352" i="1"/>
  <c r="L352" i="1"/>
  <c r="M352" i="1"/>
  <c r="N352" i="1"/>
  <c r="O352" i="1"/>
  <c r="P352" i="1"/>
  <c r="Q352" i="1"/>
  <c r="A353" i="1"/>
  <c r="B353" i="1"/>
  <c r="C353" i="1"/>
  <c r="D353" i="1"/>
  <c r="E353" i="1"/>
  <c r="F353" i="1"/>
  <c r="G353" i="1"/>
  <c r="H353" i="1"/>
  <c r="I353" i="1"/>
  <c r="J353" i="1"/>
  <c r="K353" i="1"/>
  <c r="L353" i="1"/>
  <c r="M353" i="1"/>
  <c r="N353" i="1"/>
  <c r="O353" i="1"/>
  <c r="P353" i="1"/>
  <c r="Q353" i="1"/>
  <c r="A354" i="1"/>
  <c r="B354" i="1"/>
  <c r="C354" i="1"/>
  <c r="D354" i="1"/>
  <c r="E354" i="1"/>
  <c r="F354" i="1"/>
  <c r="G354" i="1"/>
  <c r="H354" i="1"/>
  <c r="I354" i="1"/>
  <c r="J354" i="1"/>
  <c r="K354" i="1"/>
  <c r="L354" i="1"/>
  <c r="M354" i="1"/>
  <c r="N354" i="1"/>
  <c r="O354" i="1"/>
  <c r="P354" i="1"/>
  <c r="Q354" i="1"/>
  <c r="A355" i="1"/>
  <c r="B355" i="1"/>
  <c r="C355" i="1"/>
  <c r="D355" i="1"/>
  <c r="E355" i="1"/>
  <c r="F355" i="1"/>
  <c r="G355" i="1"/>
  <c r="H355" i="1"/>
  <c r="I355" i="1"/>
  <c r="J355" i="1"/>
  <c r="K355" i="1"/>
  <c r="L355" i="1"/>
  <c r="M355" i="1"/>
  <c r="N355" i="1"/>
  <c r="O355" i="1"/>
  <c r="P355" i="1"/>
  <c r="Q355" i="1"/>
  <c r="A356" i="1"/>
  <c r="B356" i="1"/>
  <c r="C356" i="1"/>
  <c r="E356" i="1"/>
  <c r="F356" i="1"/>
  <c r="G356" i="1"/>
  <c r="H356" i="1"/>
  <c r="I356" i="1"/>
  <c r="J356" i="1"/>
  <c r="K356" i="1"/>
  <c r="L356" i="1"/>
  <c r="M356" i="1"/>
  <c r="N356" i="1"/>
  <c r="O356" i="1"/>
  <c r="P356" i="1"/>
  <c r="Q356" i="1"/>
  <c r="A357" i="1"/>
  <c r="B357" i="1"/>
  <c r="C357" i="1"/>
  <c r="E357" i="1"/>
  <c r="F357" i="1"/>
  <c r="G357" i="1"/>
  <c r="H357" i="1"/>
  <c r="I357" i="1"/>
  <c r="J357" i="1"/>
  <c r="K357" i="1"/>
  <c r="L357" i="1"/>
  <c r="M357" i="1"/>
  <c r="N357" i="1"/>
  <c r="O357" i="1"/>
  <c r="P357" i="1"/>
  <c r="Q357" i="1"/>
  <c r="A358" i="1"/>
  <c r="B358" i="1"/>
  <c r="C358" i="1"/>
  <c r="E358" i="1"/>
  <c r="F358" i="1"/>
  <c r="G358" i="1"/>
  <c r="H358" i="1"/>
  <c r="I358" i="1"/>
  <c r="J358" i="1"/>
  <c r="K358" i="1"/>
  <c r="L358" i="1"/>
  <c r="M358" i="1"/>
  <c r="N358" i="1"/>
  <c r="O358" i="1"/>
  <c r="P358" i="1"/>
  <c r="Q358" i="1"/>
  <c r="A359" i="1"/>
  <c r="B359" i="1"/>
  <c r="C359" i="1"/>
  <c r="E359" i="1"/>
  <c r="F359" i="1"/>
  <c r="G359" i="1"/>
  <c r="H359" i="1"/>
  <c r="I359" i="1"/>
  <c r="J359" i="1"/>
  <c r="K359" i="1"/>
  <c r="L359" i="1"/>
  <c r="M359" i="1"/>
  <c r="N359" i="1"/>
  <c r="O359" i="1"/>
  <c r="P359" i="1"/>
  <c r="Q359" i="1"/>
  <c r="A360" i="1"/>
  <c r="B360" i="1"/>
  <c r="C360" i="1"/>
  <c r="E360" i="1"/>
  <c r="F360" i="1"/>
  <c r="G360" i="1"/>
  <c r="H360" i="1"/>
  <c r="I360" i="1"/>
  <c r="J360" i="1"/>
  <c r="K360" i="1"/>
  <c r="L360" i="1"/>
  <c r="M360" i="1"/>
  <c r="N360" i="1"/>
  <c r="O360" i="1"/>
  <c r="P360" i="1"/>
  <c r="Q360" i="1"/>
  <c r="A361" i="1"/>
  <c r="B361" i="1"/>
  <c r="C361" i="1"/>
  <c r="E361" i="1"/>
  <c r="F361" i="1"/>
  <c r="G361" i="1"/>
  <c r="H361" i="1"/>
  <c r="I361" i="1"/>
  <c r="J361" i="1"/>
  <c r="K361" i="1"/>
  <c r="L361" i="1"/>
  <c r="M361" i="1"/>
  <c r="N361" i="1"/>
  <c r="O361" i="1"/>
  <c r="P361" i="1"/>
  <c r="Q361" i="1"/>
  <c r="A362" i="1"/>
  <c r="B362" i="1"/>
  <c r="C362" i="1"/>
  <c r="E362" i="1"/>
  <c r="F362" i="1"/>
  <c r="G362" i="1"/>
  <c r="H362" i="1"/>
  <c r="I362" i="1"/>
  <c r="J362" i="1"/>
  <c r="K362" i="1"/>
  <c r="L362" i="1"/>
  <c r="M362" i="1"/>
  <c r="N362" i="1"/>
  <c r="O362" i="1"/>
  <c r="P362" i="1"/>
  <c r="Q362" i="1"/>
  <c r="A363" i="1"/>
  <c r="B363" i="1"/>
  <c r="C363" i="1"/>
  <c r="E363" i="1"/>
  <c r="F363" i="1"/>
  <c r="G363" i="1"/>
  <c r="H363" i="1"/>
  <c r="I363" i="1"/>
  <c r="J363" i="1"/>
  <c r="K363" i="1"/>
  <c r="L363" i="1"/>
  <c r="M363" i="1"/>
  <c r="N363" i="1"/>
  <c r="O363" i="1"/>
  <c r="P363" i="1"/>
  <c r="Q363" i="1"/>
  <c r="A364" i="1"/>
  <c r="B364" i="1"/>
  <c r="C364" i="1"/>
  <c r="D364" i="1"/>
  <c r="E364" i="1"/>
  <c r="F364" i="1"/>
  <c r="G364" i="1"/>
  <c r="H364" i="1"/>
  <c r="I364" i="1"/>
  <c r="J364" i="1"/>
  <c r="K364" i="1"/>
  <c r="L364" i="1"/>
  <c r="M364" i="1"/>
  <c r="N364" i="1"/>
  <c r="O364" i="1"/>
  <c r="P364" i="1"/>
  <c r="Q364" i="1"/>
  <c r="A365" i="1"/>
  <c r="B365" i="1"/>
  <c r="C365" i="1"/>
  <c r="E365" i="1"/>
  <c r="F365" i="1"/>
  <c r="G365" i="1"/>
  <c r="H365" i="1"/>
  <c r="I365" i="1"/>
  <c r="J365" i="1"/>
  <c r="K365" i="1"/>
  <c r="L365" i="1"/>
  <c r="M365" i="1"/>
  <c r="N365" i="1"/>
  <c r="O365" i="1"/>
  <c r="P365" i="1"/>
  <c r="Q365" i="1"/>
  <c r="A366" i="1"/>
  <c r="B366" i="1"/>
  <c r="C366" i="1"/>
  <c r="E366" i="1"/>
  <c r="F366" i="1"/>
  <c r="G366" i="1"/>
  <c r="H366" i="1"/>
  <c r="I366" i="1"/>
  <c r="J366" i="1"/>
  <c r="K366" i="1"/>
  <c r="L366" i="1"/>
  <c r="M366" i="1"/>
  <c r="N366" i="1"/>
  <c r="O366" i="1"/>
  <c r="P366" i="1"/>
  <c r="Q366" i="1"/>
  <c r="A367" i="1"/>
  <c r="B367" i="1"/>
  <c r="C367" i="1"/>
  <c r="E367" i="1"/>
  <c r="F367" i="1"/>
  <c r="G367" i="1"/>
  <c r="H367" i="1"/>
  <c r="I367" i="1"/>
  <c r="J367" i="1"/>
  <c r="K367" i="1"/>
  <c r="L367" i="1"/>
  <c r="M367" i="1"/>
  <c r="N367" i="1"/>
  <c r="O367" i="1"/>
  <c r="P367" i="1"/>
  <c r="Q367" i="1"/>
  <c r="A368" i="1"/>
  <c r="B368" i="1"/>
  <c r="C368" i="1"/>
  <c r="E368" i="1"/>
  <c r="F368" i="1"/>
  <c r="G368" i="1"/>
  <c r="H368" i="1"/>
  <c r="I368" i="1"/>
  <c r="J368" i="1"/>
  <c r="K368" i="1"/>
  <c r="L368" i="1"/>
  <c r="M368" i="1"/>
  <c r="N368" i="1"/>
  <c r="O368" i="1"/>
  <c r="P368" i="1"/>
  <c r="Q368" i="1"/>
  <c r="A369" i="1"/>
  <c r="B369" i="1"/>
  <c r="C369" i="1"/>
  <c r="D369" i="1"/>
  <c r="E369" i="1"/>
  <c r="F369" i="1"/>
  <c r="G369" i="1"/>
  <c r="H369" i="1"/>
  <c r="I369" i="1"/>
  <c r="J369" i="1"/>
  <c r="K369" i="1"/>
  <c r="L369" i="1"/>
  <c r="M369" i="1"/>
  <c r="N369" i="1"/>
  <c r="O369" i="1"/>
  <c r="P369" i="1"/>
  <c r="Q369" i="1"/>
  <c r="A370" i="1"/>
  <c r="B370" i="1"/>
  <c r="C370" i="1"/>
  <c r="D370" i="1"/>
  <c r="E370" i="1"/>
  <c r="F370" i="1"/>
  <c r="G370" i="1"/>
  <c r="H370" i="1"/>
  <c r="I370" i="1"/>
  <c r="J370" i="1"/>
  <c r="K370" i="1"/>
  <c r="L370" i="1"/>
  <c r="M370" i="1"/>
  <c r="N370" i="1"/>
  <c r="O370" i="1"/>
  <c r="P370" i="1"/>
  <c r="Q370" i="1"/>
  <c r="A371" i="1"/>
  <c r="B371" i="1"/>
  <c r="C371" i="1"/>
  <c r="E371" i="1"/>
  <c r="F371" i="1"/>
  <c r="G371" i="1"/>
  <c r="H371" i="1"/>
  <c r="I371" i="1"/>
  <c r="J371" i="1"/>
  <c r="K371" i="1"/>
  <c r="L371" i="1"/>
  <c r="M371" i="1"/>
  <c r="N371" i="1"/>
  <c r="O371" i="1"/>
  <c r="P371" i="1"/>
  <c r="Q371" i="1"/>
  <c r="A372" i="1"/>
  <c r="B372" i="1"/>
  <c r="C372" i="1"/>
  <c r="E372" i="1"/>
  <c r="F372" i="1"/>
  <c r="G372" i="1"/>
  <c r="H372" i="1"/>
  <c r="I372" i="1"/>
  <c r="J372" i="1"/>
  <c r="K372" i="1"/>
  <c r="L372" i="1"/>
  <c r="M372" i="1"/>
  <c r="N372" i="1"/>
  <c r="O372" i="1"/>
  <c r="P372" i="1"/>
  <c r="Q372" i="1"/>
  <c r="A373" i="1"/>
  <c r="B373" i="1"/>
  <c r="C373" i="1"/>
  <c r="E373" i="1"/>
  <c r="F373" i="1"/>
  <c r="G373" i="1"/>
  <c r="H373" i="1"/>
  <c r="I373" i="1"/>
  <c r="J373" i="1"/>
  <c r="K373" i="1"/>
  <c r="L373" i="1"/>
  <c r="M373" i="1"/>
  <c r="N373" i="1"/>
  <c r="O373" i="1"/>
  <c r="P373" i="1"/>
  <c r="Q373" i="1"/>
  <c r="A374" i="1"/>
  <c r="B374" i="1"/>
  <c r="C374" i="1"/>
  <c r="D374" i="1"/>
  <c r="E374" i="1"/>
  <c r="F374" i="1"/>
  <c r="G374" i="1"/>
  <c r="H374" i="1"/>
  <c r="I374" i="1"/>
  <c r="J374" i="1"/>
  <c r="K374" i="1"/>
  <c r="L374" i="1"/>
  <c r="M374" i="1"/>
  <c r="N374" i="1"/>
  <c r="O374" i="1"/>
  <c r="P374" i="1"/>
  <c r="Q374" i="1"/>
  <c r="A375" i="1"/>
  <c r="B375" i="1"/>
  <c r="C375" i="1"/>
  <c r="D375" i="1"/>
  <c r="E375" i="1"/>
  <c r="F375" i="1"/>
  <c r="G375" i="1"/>
  <c r="H375" i="1"/>
  <c r="I375" i="1"/>
  <c r="J375" i="1"/>
  <c r="K375" i="1"/>
  <c r="L375" i="1"/>
  <c r="M375" i="1"/>
  <c r="N375" i="1"/>
  <c r="O375" i="1"/>
  <c r="P375" i="1"/>
  <c r="Q375" i="1"/>
  <c r="A376" i="1"/>
  <c r="B376" i="1"/>
  <c r="C376" i="1"/>
  <c r="D376" i="1"/>
  <c r="E376" i="1"/>
  <c r="F376" i="1"/>
  <c r="G376" i="1"/>
  <c r="H376" i="1"/>
  <c r="I376" i="1"/>
  <c r="J376" i="1"/>
  <c r="K376" i="1"/>
  <c r="L376" i="1"/>
  <c r="M376" i="1"/>
  <c r="N376" i="1"/>
  <c r="O376" i="1"/>
  <c r="P376" i="1"/>
  <c r="Q376" i="1"/>
  <c r="A377" i="1"/>
  <c r="B377" i="1"/>
  <c r="C377" i="1"/>
  <c r="D377" i="1"/>
  <c r="E377" i="1"/>
  <c r="F377" i="1"/>
  <c r="G377" i="1"/>
  <c r="H377" i="1"/>
  <c r="I377" i="1"/>
  <c r="J377" i="1"/>
  <c r="K377" i="1"/>
  <c r="L377" i="1"/>
  <c r="M377" i="1"/>
  <c r="N377" i="1"/>
  <c r="O377" i="1"/>
  <c r="P377" i="1"/>
  <c r="Q377" i="1"/>
  <c r="A378" i="1"/>
  <c r="B378" i="1"/>
  <c r="C378" i="1"/>
  <c r="D378" i="1"/>
  <c r="E378" i="1"/>
  <c r="F378" i="1"/>
  <c r="G378" i="1"/>
  <c r="H378" i="1"/>
  <c r="I378" i="1"/>
  <c r="J378" i="1"/>
  <c r="K378" i="1"/>
  <c r="L378" i="1"/>
  <c r="M378" i="1"/>
  <c r="N378" i="1"/>
  <c r="O378" i="1"/>
  <c r="P378" i="1"/>
  <c r="Q378" i="1"/>
  <c r="A379" i="1"/>
  <c r="B379" i="1"/>
  <c r="C379" i="1"/>
  <c r="E379" i="1"/>
  <c r="F379" i="1"/>
  <c r="G379" i="1"/>
  <c r="H379" i="1"/>
  <c r="I379" i="1"/>
  <c r="J379" i="1"/>
  <c r="K379" i="1"/>
  <c r="L379" i="1"/>
  <c r="M379" i="1"/>
  <c r="N379" i="1"/>
  <c r="O379" i="1"/>
  <c r="P379" i="1"/>
  <c r="Q379" i="1"/>
  <c r="A380" i="1"/>
  <c r="B380" i="1"/>
  <c r="C380" i="1"/>
  <c r="D380" i="1"/>
  <c r="E380" i="1"/>
  <c r="F380" i="1"/>
  <c r="G380" i="1"/>
  <c r="H380" i="1"/>
  <c r="I380" i="1"/>
  <c r="J380" i="1"/>
  <c r="K380" i="1"/>
  <c r="L380" i="1"/>
  <c r="M380" i="1"/>
  <c r="N380" i="1"/>
  <c r="O380" i="1"/>
  <c r="P380" i="1"/>
  <c r="Q380" i="1"/>
  <c r="A381" i="1"/>
  <c r="B381" i="1"/>
  <c r="C381" i="1"/>
  <c r="E381" i="1"/>
  <c r="F381" i="1"/>
  <c r="G381" i="1"/>
  <c r="H381" i="1"/>
  <c r="I381" i="1"/>
  <c r="J381" i="1"/>
  <c r="K381" i="1"/>
  <c r="L381" i="1"/>
  <c r="M381" i="1"/>
  <c r="N381" i="1"/>
  <c r="O381" i="1"/>
  <c r="P381" i="1"/>
  <c r="Q381" i="1"/>
  <c r="A382" i="1"/>
  <c r="B382" i="1"/>
  <c r="C382" i="1"/>
  <c r="E382" i="1"/>
  <c r="F382" i="1"/>
  <c r="G382" i="1"/>
  <c r="H382" i="1"/>
  <c r="I382" i="1"/>
  <c r="J382" i="1"/>
  <c r="K382" i="1"/>
  <c r="L382" i="1"/>
  <c r="M382" i="1"/>
  <c r="N382" i="1"/>
  <c r="O382" i="1"/>
  <c r="P382" i="1"/>
  <c r="Q382" i="1"/>
  <c r="A383" i="1"/>
  <c r="B383" i="1"/>
  <c r="C383" i="1"/>
  <c r="D383" i="1"/>
  <c r="E383" i="1"/>
  <c r="F383" i="1"/>
  <c r="G383" i="1"/>
  <c r="H383" i="1"/>
  <c r="I383" i="1"/>
  <c r="J383" i="1"/>
  <c r="K383" i="1"/>
  <c r="L383" i="1"/>
  <c r="M383" i="1"/>
  <c r="N383" i="1"/>
  <c r="O383" i="1"/>
  <c r="P383" i="1"/>
  <c r="Q383" i="1"/>
  <c r="A384" i="1"/>
  <c r="B384" i="1"/>
  <c r="C384" i="1"/>
  <c r="E384" i="1"/>
  <c r="F384" i="1"/>
  <c r="G384" i="1"/>
  <c r="H384" i="1"/>
  <c r="I384" i="1"/>
  <c r="J384" i="1"/>
  <c r="K384" i="1"/>
  <c r="L384" i="1"/>
  <c r="M384" i="1"/>
  <c r="N384" i="1"/>
  <c r="O384" i="1"/>
  <c r="P384" i="1"/>
  <c r="Q384" i="1"/>
  <c r="A385" i="1"/>
  <c r="B385" i="1"/>
  <c r="C385" i="1"/>
  <c r="D385" i="1"/>
  <c r="E385" i="1"/>
  <c r="F385" i="1"/>
  <c r="G385" i="1"/>
  <c r="H385" i="1"/>
  <c r="I385" i="1"/>
  <c r="J385" i="1"/>
  <c r="K385" i="1"/>
  <c r="L385" i="1"/>
  <c r="M385" i="1"/>
  <c r="N385" i="1"/>
  <c r="O385" i="1"/>
  <c r="P385" i="1"/>
  <c r="Q385" i="1"/>
  <c r="A386" i="1"/>
  <c r="B386" i="1"/>
  <c r="C386" i="1"/>
  <c r="E386" i="1"/>
  <c r="F386" i="1"/>
  <c r="G386" i="1"/>
  <c r="H386" i="1"/>
  <c r="I386" i="1"/>
  <c r="J386" i="1"/>
  <c r="K386" i="1"/>
  <c r="L386" i="1"/>
  <c r="M386" i="1"/>
  <c r="N386" i="1"/>
  <c r="O386" i="1"/>
  <c r="P386" i="1"/>
  <c r="Q386" i="1"/>
  <c r="A387" i="1"/>
  <c r="B387" i="1"/>
  <c r="C387" i="1"/>
  <c r="D387" i="1"/>
  <c r="E387" i="1"/>
  <c r="F387" i="1"/>
  <c r="G387" i="1"/>
  <c r="H387" i="1"/>
  <c r="I387" i="1"/>
  <c r="J387" i="1"/>
  <c r="K387" i="1"/>
  <c r="L387" i="1"/>
  <c r="M387" i="1"/>
  <c r="N387" i="1"/>
  <c r="O387" i="1"/>
  <c r="P387" i="1"/>
  <c r="Q387" i="1"/>
  <c r="A388" i="1"/>
  <c r="B388" i="1"/>
  <c r="C388" i="1"/>
  <c r="D388" i="1"/>
  <c r="E388" i="1"/>
  <c r="F388" i="1"/>
  <c r="G388" i="1"/>
  <c r="H388" i="1"/>
  <c r="I388" i="1"/>
  <c r="J388" i="1"/>
  <c r="K388" i="1"/>
  <c r="L388" i="1"/>
  <c r="M388" i="1"/>
  <c r="N388" i="1"/>
  <c r="O388" i="1"/>
  <c r="P388" i="1"/>
  <c r="Q388" i="1"/>
  <c r="A389" i="1"/>
  <c r="B389" i="1"/>
  <c r="C389" i="1"/>
  <c r="D389" i="1"/>
  <c r="E389" i="1"/>
  <c r="F389" i="1"/>
  <c r="G389" i="1"/>
  <c r="H389" i="1"/>
  <c r="I389" i="1"/>
  <c r="J389" i="1"/>
  <c r="K389" i="1"/>
  <c r="L389" i="1"/>
  <c r="M389" i="1"/>
  <c r="N389" i="1"/>
  <c r="O389" i="1"/>
  <c r="P389" i="1"/>
  <c r="Q389" i="1"/>
  <c r="A390" i="1"/>
  <c r="B390" i="1"/>
  <c r="C390" i="1"/>
  <c r="D390" i="1"/>
  <c r="E390" i="1"/>
  <c r="F390" i="1"/>
  <c r="G390" i="1"/>
  <c r="H390" i="1"/>
  <c r="I390" i="1"/>
  <c r="J390" i="1"/>
  <c r="K390" i="1"/>
  <c r="L390" i="1"/>
  <c r="M390" i="1"/>
  <c r="N390" i="1"/>
  <c r="O390" i="1"/>
  <c r="P390" i="1"/>
  <c r="Q390" i="1"/>
  <c r="A391" i="1"/>
  <c r="B391" i="1"/>
  <c r="C391" i="1"/>
  <c r="E391" i="1"/>
  <c r="F391" i="1"/>
  <c r="G391" i="1"/>
  <c r="H391" i="1"/>
  <c r="I391" i="1"/>
  <c r="J391" i="1"/>
  <c r="K391" i="1"/>
  <c r="L391" i="1"/>
  <c r="M391" i="1"/>
  <c r="N391" i="1"/>
  <c r="O391" i="1"/>
  <c r="P391" i="1"/>
  <c r="Q391" i="1"/>
  <c r="A392" i="1"/>
  <c r="B392" i="1"/>
  <c r="C392" i="1"/>
  <c r="D392" i="1"/>
  <c r="E392" i="1"/>
  <c r="F392" i="1"/>
  <c r="G392" i="1"/>
  <c r="H392" i="1"/>
  <c r="I392" i="1"/>
  <c r="J392" i="1"/>
  <c r="K392" i="1"/>
  <c r="L392" i="1"/>
  <c r="M392" i="1"/>
  <c r="N392" i="1"/>
  <c r="O392" i="1"/>
  <c r="P392" i="1"/>
  <c r="Q392" i="1"/>
  <c r="A393" i="1"/>
  <c r="B393" i="1"/>
  <c r="C393" i="1"/>
  <c r="E393" i="1"/>
  <c r="F393" i="1"/>
  <c r="G393" i="1"/>
  <c r="H393" i="1"/>
  <c r="I393" i="1"/>
  <c r="J393" i="1"/>
  <c r="K393" i="1"/>
  <c r="L393" i="1"/>
  <c r="M393" i="1"/>
  <c r="N393" i="1"/>
  <c r="O393" i="1"/>
  <c r="P393" i="1"/>
  <c r="Q393" i="1"/>
  <c r="A394" i="1"/>
  <c r="B394" i="1"/>
  <c r="C394" i="1"/>
  <c r="D394" i="1"/>
  <c r="E394" i="1"/>
  <c r="F394" i="1"/>
  <c r="G394" i="1"/>
  <c r="H394" i="1"/>
  <c r="I394" i="1"/>
  <c r="J394" i="1"/>
  <c r="K394" i="1"/>
  <c r="L394" i="1"/>
  <c r="M394" i="1"/>
  <c r="N394" i="1"/>
  <c r="O394" i="1"/>
  <c r="P394" i="1"/>
  <c r="Q394" i="1"/>
  <c r="A395" i="1"/>
  <c r="B395" i="1"/>
  <c r="C395" i="1"/>
  <c r="D395" i="1"/>
  <c r="E395" i="1"/>
  <c r="F395" i="1"/>
  <c r="G395" i="1"/>
  <c r="H395" i="1"/>
  <c r="I395" i="1"/>
  <c r="J395" i="1"/>
  <c r="K395" i="1"/>
  <c r="L395" i="1"/>
  <c r="M395" i="1"/>
  <c r="N395" i="1"/>
  <c r="O395" i="1"/>
  <c r="P395" i="1"/>
  <c r="Q395" i="1"/>
  <c r="A396" i="1"/>
  <c r="B396" i="1"/>
  <c r="C396" i="1"/>
  <c r="D396" i="1"/>
  <c r="E396" i="1"/>
  <c r="F396" i="1"/>
  <c r="G396" i="1"/>
  <c r="H396" i="1"/>
  <c r="I396" i="1"/>
  <c r="J396" i="1"/>
  <c r="K396" i="1"/>
  <c r="L396" i="1"/>
  <c r="M396" i="1"/>
  <c r="N396" i="1"/>
  <c r="O396" i="1"/>
  <c r="P396" i="1"/>
  <c r="Q396" i="1"/>
  <c r="A397" i="1"/>
  <c r="B397" i="1"/>
  <c r="C397" i="1"/>
  <c r="D397" i="1"/>
  <c r="E397" i="1"/>
  <c r="F397" i="1"/>
  <c r="G397" i="1"/>
  <c r="H397" i="1"/>
  <c r="I397" i="1"/>
  <c r="J397" i="1"/>
  <c r="K397" i="1"/>
  <c r="L397" i="1"/>
  <c r="M397" i="1"/>
  <c r="N397" i="1"/>
  <c r="O397" i="1"/>
  <c r="P397" i="1"/>
  <c r="Q397" i="1"/>
  <c r="A398" i="1"/>
  <c r="B398" i="1"/>
  <c r="C398" i="1"/>
  <c r="D398" i="1"/>
  <c r="E398" i="1"/>
  <c r="F398" i="1"/>
  <c r="G398" i="1"/>
  <c r="H398" i="1"/>
  <c r="I398" i="1"/>
  <c r="J398" i="1"/>
  <c r="K398" i="1"/>
  <c r="L398" i="1"/>
  <c r="M398" i="1"/>
  <c r="N398" i="1"/>
  <c r="O398" i="1"/>
  <c r="P398" i="1"/>
  <c r="Q398" i="1"/>
  <c r="A399" i="1"/>
  <c r="B399" i="1"/>
  <c r="C399" i="1"/>
  <c r="D399" i="1"/>
  <c r="E399" i="1"/>
  <c r="F399" i="1"/>
  <c r="G399" i="1"/>
  <c r="H399" i="1"/>
  <c r="I399" i="1"/>
  <c r="J399" i="1"/>
  <c r="K399" i="1"/>
  <c r="L399" i="1"/>
  <c r="M399" i="1"/>
  <c r="N399" i="1"/>
  <c r="O399" i="1"/>
  <c r="P399" i="1"/>
  <c r="Q399" i="1"/>
  <c r="A400" i="1"/>
  <c r="B400" i="1"/>
  <c r="C400" i="1"/>
  <c r="D400" i="1"/>
  <c r="E400" i="1"/>
  <c r="F400" i="1"/>
  <c r="G400" i="1"/>
  <c r="H400" i="1"/>
  <c r="I400" i="1"/>
  <c r="J400" i="1"/>
  <c r="K400" i="1"/>
  <c r="L400" i="1"/>
  <c r="M400" i="1"/>
  <c r="N400" i="1"/>
  <c r="O400" i="1"/>
  <c r="P400" i="1"/>
  <c r="Q400" i="1"/>
  <c r="A401" i="1"/>
  <c r="B401" i="1"/>
  <c r="C401" i="1"/>
  <c r="D401" i="1"/>
  <c r="E401" i="1"/>
  <c r="F401" i="1"/>
  <c r="G401" i="1"/>
  <c r="H401" i="1"/>
  <c r="I401" i="1"/>
  <c r="J401" i="1"/>
  <c r="K401" i="1"/>
  <c r="L401" i="1"/>
  <c r="M401" i="1"/>
  <c r="N401" i="1"/>
  <c r="O401" i="1"/>
  <c r="P401" i="1"/>
  <c r="Q401" i="1"/>
  <c r="A402" i="1"/>
  <c r="B402" i="1"/>
  <c r="C402" i="1"/>
  <c r="D402" i="1"/>
  <c r="E402" i="1"/>
  <c r="F402" i="1"/>
  <c r="G402" i="1"/>
  <c r="H402" i="1"/>
  <c r="I402" i="1"/>
  <c r="J402" i="1"/>
  <c r="K402" i="1"/>
  <c r="L402" i="1"/>
  <c r="M402" i="1"/>
  <c r="N402" i="1"/>
  <c r="O402" i="1"/>
  <c r="P402" i="1"/>
  <c r="Q402" i="1"/>
  <c r="A403" i="1"/>
  <c r="B403" i="1"/>
  <c r="C403" i="1"/>
  <c r="D403" i="1"/>
  <c r="E403" i="1"/>
  <c r="F403" i="1"/>
  <c r="G403" i="1"/>
  <c r="H403" i="1"/>
  <c r="I403" i="1"/>
  <c r="J403" i="1"/>
  <c r="K403" i="1"/>
  <c r="L403" i="1"/>
  <c r="M403" i="1"/>
  <c r="N403" i="1"/>
  <c r="O403" i="1"/>
  <c r="P403" i="1"/>
  <c r="Q403" i="1"/>
  <c r="A404" i="1"/>
  <c r="B404" i="1"/>
  <c r="C404" i="1"/>
  <c r="D404" i="1"/>
  <c r="E404" i="1"/>
  <c r="F404" i="1"/>
  <c r="G404" i="1"/>
  <c r="H404" i="1"/>
  <c r="I404" i="1"/>
  <c r="J404" i="1"/>
  <c r="K404" i="1"/>
  <c r="L404" i="1"/>
  <c r="M404" i="1"/>
  <c r="N404" i="1"/>
  <c r="O404" i="1"/>
  <c r="P404" i="1"/>
  <c r="Q404" i="1"/>
  <c r="A405" i="1"/>
  <c r="B405" i="1"/>
  <c r="C405" i="1"/>
  <c r="D405" i="1"/>
  <c r="E405" i="1"/>
  <c r="F405" i="1"/>
  <c r="G405" i="1"/>
  <c r="H405" i="1"/>
  <c r="I405" i="1"/>
  <c r="J405" i="1"/>
  <c r="K405" i="1"/>
  <c r="L405" i="1"/>
  <c r="M405" i="1"/>
  <c r="N405" i="1"/>
  <c r="O405" i="1"/>
  <c r="P405" i="1"/>
  <c r="Q405" i="1"/>
  <c r="A406" i="1"/>
  <c r="B406" i="1"/>
  <c r="C406" i="1"/>
  <c r="E406" i="1"/>
  <c r="F406" i="1"/>
  <c r="G406" i="1"/>
  <c r="H406" i="1"/>
  <c r="I406" i="1"/>
  <c r="J406" i="1"/>
  <c r="K406" i="1"/>
  <c r="L406" i="1"/>
  <c r="M406" i="1"/>
  <c r="N406" i="1"/>
  <c r="O406" i="1"/>
  <c r="P406" i="1"/>
  <c r="Q406" i="1"/>
  <c r="A407" i="1"/>
  <c r="B407" i="1"/>
  <c r="C407" i="1"/>
  <c r="D407" i="1"/>
  <c r="E407" i="1"/>
  <c r="F407" i="1"/>
  <c r="G407" i="1"/>
  <c r="H407" i="1"/>
  <c r="I407" i="1"/>
  <c r="J407" i="1"/>
  <c r="K407" i="1"/>
  <c r="L407" i="1"/>
  <c r="M407" i="1"/>
  <c r="N407" i="1"/>
  <c r="O407" i="1"/>
  <c r="P407" i="1"/>
  <c r="Q407" i="1"/>
  <c r="A408" i="1"/>
  <c r="B408" i="1"/>
  <c r="C408" i="1"/>
  <c r="D408" i="1"/>
  <c r="E408" i="1"/>
  <c r="F408" i="1"/>
  <c r="G408" i="1"/>
  <c r="H408" i="1"/>
  <c r="I408" i="1"/>
  <c r="J408" i="1"/>
  <c r="K408" i="1"/>
  <c r="L408" i="1"/>
  <c r="M408" i="1"/>
  <c r="N408" i="1"/>
  <c r="O408" i="1"/>
  <c r="P408" i="1"/>
  <c r="Q408" i="1"/>
  <c r="A409" i="1"/>
  <c r="B409" i="1"/>
  <c r="C409" i="1"/>
  <c r="E409" i="1"/>
  <c r="F409" i="1"/>
  <c r="G409" i="1"/>
  <c r="H409" i="1"/>
  <c r="I409" i="1"/>
  <c r="J409" i="1"/>
  <c r="K409" i="1"/>
  <c r="L409" i="1"/>
  <c r="M409" i="1"/>
  <c r="N409" i="1"/>
  <c r="O409" i="1"/>
  <c r="P409" i="1"/>
  <c r="Q409" i="1"/>
  <c r="A410" i="1"/>
  <c r="B410" i="1"/>
  <c r="C410" i="1"/>
  <c r="D410" i="1"/>
  <c r="E410" i="1"/>
  <c r="F410" i="1"/>
  <c r="G410" i="1"/>
  <c r="H410" i="1"/>
  <c r="I410" i="1"/>
  <c r="J410" i="1"/>
  <c r="K410" i="1"/>
  <c r="L410" i="1"/>
  <c r="M410" i="1"/>
  <c r="N410" i="1"/>
  <c r="O410" i="1"/>
  <c r="P410" i="1"/>
  <c r="Q410" i="1"/>
  <c r="A411" i="1"/>
  <c r="B411" i="1"/>
  <c r="C411" i="1"/>
  <c r="D411" i="1"/>
  <c r="E411" i="1"/>
  <c r="F411" i="1"/>
  <c r="G411" i="1"/>
  <c r="H411" i="1"/>
  <c r="I411" i="1"/>
  <c r="J411" i="1"/>
  <c r="K411" i="1"/>
  <c r="L411" i="1"/>
  <c r="M411" i="1"/>
  <c r="N411" i="1"/>
  <c r="O411" i="1"/>
  <c r="P411" i="1"/>
  <c r="Q411" i="1"/>
  <c r="A412" i="1"/>
  <c r="B412" i="1"/>
  <c r="C412" i="1"/>
  <c r="D412" i="1"/>
  <c r="E412" i="1"/>
  <c r="F412" i="1"/>
  <c r="G412" i="1"/>
  <c r="H412" i="1"/>
  <c r="I412" i="1"/>
  <c r="J412" i="1"/>
  <c r="K412" i="1"/>
  <c r="L412" i="1"/>
  <c r="M412" i="1"/>
  <c r="N412" i="1"/>
  <c r="O412" i="1"/>
  <c r="P412" i="1"/>
  <c r="Q412" i="1"/>
  <c r="A413" i="1"/>
  <c r="B413" i="1"/>
  <c r="C413" i="1"/>
  <c r="D413" i="1"/>
  <c r="E413" i="1"/>
  <c r="F413" i="1"/>
  <c r="G413" i="1"/>
  <c r="H413" i="1"/>
  <c r="I413" i="1"/>
  <c r="J413" i="1"/>
  <c r="K413" i="1"/>
  <c r="L413" i="1"/>
  <c r="M413" i="1"/>
  <c r="N413" i="1"/>
  <c r="O413" i="1"/>
  <c r="P413" i="1"/>
  <c r="Q413" i="1"/>
  <c r="A414" i="1"/>
  <c r="B414" i="1"/>
  <c r="C414" i="1"/>
  <c r="D414" i="1"/>
  <c r="E414" i="1"/>
  <c r="F414" i="1"/>
  <c r="G414" i="1"/>
  <c r="H414" i="1"/>
  <c r="I414" i="1"/>
  <c r="J414" i="1"/>
  <c r="K414" i="1"/>
  <c r="L414" i="1"/>
  <c r="M414" i="1"/>
  <c r="N414" i="1"/>
  <c r="O414" i="1"/>
  <c r="P414" i="1"/>
  <c r="Q414" i="1"/>
  <c r="A415" i="1"/>
  <c r="B415" i="1"/>
  <c r="C415" i="1"/>
  <c r="D415" i="1"/>
  <c r="E415" i="1"/>
  <c r="F415" i="1"/>
  <c r="G415" i="1"/>
  <c r="H415" i="1"/>
  <c r="I415" i="1"/>
  <c r="J415" i="1"/>
  <c r="K415" i="1"/>
  <c r="L415" i="1"/>
  <c r="M415" i="1"/>
  <c r="N415" i="1"/>
  <c r="O415" i="1"/>
  <c r="P415" i="1"/>
  <c r="Q415" i="1"/>
  <c r="A416" i="1"/>
  <c r="B416" i="1"/>
  <c r="C416" i="1"/>
  <c r="D416" i="1"/>
  <c r="E416" i="1"/>
  <c r="F416" i="1"/>
  <c r="G416" i="1"/>
  <c r="H416" i="1"/>
  <c r="I416" i="1"/>
  <c r="J416" i="1"/>
  <c r="K416" i="1"/>
  <c r="L416" i="1"/>
  <c r="M416" i="1"/>
  <c r="N416" i="1"/>
  <c r="O416" i="1"/>
  <c r="P416" i="1"/>
  <c r="Q416" i="1"/>
  <c r="A417" i="1"/>
  <c r="B417" i="1"/>
  <c r="C417" i="1"/>
  <c r="D417" i="1"/>
  <c r="E417" i="1"/>
  <c r="F417" i="1"/>
  <c r="G417" i="1"/>
  <c r="H417" i="1"/>
  <c r="I417" i="1"/>
  <c r="J417" i="1"/>
  <c r="K417" i="1"/>
  <c r="L417" i="1"/>
  <c r="M417" i="1"/>
  <c r="N417" i="1"/>
  <c r="O417" i="1"/>
  <c r="P417" i="1"/>
  <c r="Q417" i="1"/>
  <c r="A418" i="1"/>
  <c r="B418" i="1"/>
  <c r="C418" i="1"/>
  <c r="D418" i="1"/>
  <c r="E418" i="1"/>
  <c r="F418" i="1"/>
  <c r="G418" i="1"/>
  <c r="H418" i="1"/>
  <c r="I418" i="1"/>
  <c r="J418" i="1"/>
  <c r="K418" i="1"/>
  <c r="L418" i="1"/>
  <c r="M418" i="1"/>
  <c r="N418" i="1"/>
  <c r="O418" i="1"/>
  <c r="P418" i="1"/>
  <c r="Q418" i="1"/>
  <c r="A419" i="1"/>
  <c r="B419" i="1"/>
  <c r="C419" i="1"/>
  <c r="D419" i="1"/>
  <c r="E419" i="1"/>
  <c r="F419" i="1"/>
  <c r="G419" i="1"/>
  <c r="H419" i="1"/>
  <c r="I419" i="1"/>
  <c r="J419" i="1"/>
  <c r="K419" i="1"/>
  <c r="L419" i="1"/>
  <c r="M419" i="1"/>
  <c r="N419" i="1"/>
  <c r="O419" i="1"/>
  <c r="P419" i="1"/>
  <c r="Q419" i="1"/>
  <c r="A420" i="1"/>
  <c r="B420" i="1"/>
  <c r="C420" i="1"/>
  <c r="D420" i="1"/>
  <c r="E420" i="1"/>
  <c r="F420" i="1"/>
  <c r="G420" i="1"/>
  <c r="H420" i="1"/>
  <c r="I420" i="1"/>
  <c r="J420" i="1"/>
  <c r="K420" i="1"/>
  <c r="L420" i="1"/>
  <c r="M420" i="1"/>
  <c r="N420" i="1"/>
  <c r="O420" i="1"/>
  <c r="P420" i="1"/>
  <c r="Q420" i="1"/>
  <c r="A421" i="1"/>
  <c r="B421" i="1"/>
  <c r="C421" i="1"/>
  <c r="D421" i="1"/>
  <c r="E421" i="1"/>
  <c r="F421" i="1"/>
  <c r="G421" i="1"/>
  <c r="H421" i="1"/>
  <c r="I421" i="1"/>
  <c r="J421" i="1"/>
  <c r="K421" i="1"/>
  <c r="L421" i="1"/>
  <c r="M421" i="1"/>
  <c r="N421" i="1"/>
  <c r="O421" i="1"/>
  <c r="P421" i="1"/>
  <c r="Q421" i="1"/>
  <c r="A422" i="1"/>
  <c r="B422" i="1"/>
  <c r="C422" i="1"/>
  <c r="E422" i="1"/>
  <c r="F422" i="1"/>
  <c r="G422" i="1"/>
  <c r="H422" i="1"/>
  <c r="I422" i="1"/>
  <c r="J422" i="1"/>
  <c r="K422" i="1"/>
  <c r="L422" i="1"/>
  <c r="M422" i="1"/>
  <c r="N422" i="1"/>
  <c r="O422" i="1"/>
  <c r="P422" i="1"/>
  <c r="Q422" i="1"/>
  <c r="A423" i="1"/>
  <c r="B423" i="1"/>
  <c r="C423" i="1"/>
  <c r="E423" i="1"/>
  <c r="F423" i="1"/>
  <c r="G423" i="1"/>
  <c r="H423" i="1"/>
  <c r="I423" i="1"/>
  <c r="J423" i="1"/>
  <c r="K423" i="1"/>
  <c r="L423" i="1"/>
  <c r="M423" i="1"/>
  <c r="N423" i="1"/>
  <c r="O423" i="1"/>
  <c r="P423" i="1"/>
  <c r="Q423" i="1"/>
  <c r="A424" i="1"/>
  <c r="B424" i="1"/>
  <c r="C424" i="1"/>
  <c r="D424" i="1"/>
  <c r="E424" i="1"/>
  <c r="F424" i="1"/>
  <c r="G424" i="1"/>
  <c r="H424" i="1"/>
  <c r="I424" i="1"/>
  <c r="J424" i="1"/>
  <c r="K424" i="1"/>
  <c r="L424" i="1"/>
  <c r="M424" i="1"/>
  <c r="N424" i="1"/>
  <c r="O424" i="1"/>
  <c r="P424" i="1"/>
  <c r="Q424" i="1"/>
  <c r="A425" i="1"/>
  <c r="B425" i="1"/>
  <c r="C425" i="1"/>
  <c r="E425" i="1"/>
  <c r="F425" i="1"/>
  <c r="G425" i="1"/>
  <c r="H425" i="1"/>
  <c r="I425" i="1"/>
  <c r="J425" i="1"/>
  <c r="K425" i="1"/>
  <c r="L425" i="1"/>
  <c r="M425" i="1"/>
  <c r="N425" i="1"/>
  <c r="O425" i="1"/>
  <c r="P425" i="1"/>
  <c r="Q425" i="1"/>
  <c r="A426" i="1"/>
  <c r="B426" i="1"/>
  <c r="C426" i="1"/>
  <c r="E426" i="1"/>
  <c r="F426" i="1"/>
  <c r="G426" i="1"/>
  <c r="H426" i="1"/>
  <c r="I426" i="1"/>
  <c r="J426" i="1"/>
  <c r="K426" i="1"/>
  <c r="L426" i="1"/>
  <c r="M426" i="1"/>
  <c r="N426" i="1"/>
  <c r="O426" i="1"/>
  <c r="P426" i="1"/>
  <c r="Q426" i="1"/>
  <c r="A427" i="1"/>
  <c r="B427" i="1"/>
  <c r="C427" i="1"/>
  <c r="D427" i="1"/>
  <c r="E427" i="1"/>
  <c r="F427" i="1"/>
  <c r="G427" i="1"/>
  <c r="H427" i="1"/>
  <c r="I427" i="1"/>
  <c r="J427" i="1"/>
  <c r="K427" i="1"/>
  <c r="L427" i="1"/>
  <c r="M427" i="1"/>
  <c r="N427" i="1"/>
  <c r="O427" i="1"/>
  <c r="P427" i="1"/>
  <c r="Q427" i="1"/>
  <c r="A428" i="1"/>
  <c r="B428" i="1"/>
  <c r="C428" i="1"/>
  <c r="D428" i="1"/>
  <c r="E428" i="1"/>
  <c r="F428" i="1"/>
  <c r="G428" i="1"/>
  <c r="H428" i="1"/>
  <c r="I428" i="1"/>
  <c r="J428" i="1"/>
  <c r="K428" i="1"/>
  <c r="L428" i="1"/>
  <c r="M428" i="1"/>
  <c r="N428" i="1"/>
  <c r="O428" i="1"/>
  <c r="P428" i="1"/>
  <c r="Q428" i="1"/>
  <c r="A429" i="1"/>
  <c r="B429" i="1"/>
  <c r="C429" i="1"/>
  <c r="D429" i="1"/>
  <c r="E429" i="1"/>
  <c r="F429" i="1"/>
  <c r="G429" i="1"/>
  <c r="H429" i="1"/>
  <c r="I429" i="1"/>
  <c r="J429" i="1"/>
  <c r="K429" i="1"/>
  <c r="L429" i="1"/>
  <c r="M429" i="1"/>
  <c r="N429" i="1"/>
  <c r="O429" i="1"/>
  <c r="P429" i="1"/>
  <c r="Q429" i="1"/>
  <c r="A430" i="1"/>
  <c r="B430" i="1"/>
  <c r="C430" i="1"/>
  <c r="E430" i="1"/>
  <c r="F430" i="1"/>
  <c r="G430" i="1"/>
  <c r="H430" i="1"/>
  <c r="I430" i="1"/>
  <c r="J430" i="1"/>
  <c r="K430" i="1"/>
  <c r="L430" i="1"/>
  <c r="M430" i="1"/>
  <c r="N430" i="1"/>
  <c r="O430" i="1"/>
  <c r="P430" i="1"/>
  <c r="Q430" i="1"/>
  <c r="A431" i="1"/>
  <c r="B431" i="1"/>
  <c r="C431" i="1"/>
  <c r="E431" i="1"/>
  <c r="F431" i="1"/>
  <c r="G431" i="1"/>
  <c r="H431" i="1"/>
  <c r="I431" i="1"/>
  <c r="J431" i="1"/>
  <c r="K431" i="1"/>
  <c r="L431" i="1"/>
  <c r="M431" i="1"/>
  <c r="N431" i="1"/>
  <c r="O431" i="1"/>
  <c r="P431" i="1"/>
  <c r="Q431" i="1"/>
  <c r="A432" i="1"/>
  <c r="B432" i="1"/>
  <c r="C432" i="1"/>
  <c r="D432" i="1"/>
  <c r="E432" i="1"/>
  <c r="F432" i="1"/>
  <c r="G432" i="1"/>
  <c r="H432" i="1"/>
  <c r="I432" i="1"/>
  <c r="J432" i="1"/>
  <c r="K432" i="1"/>
  <c r="L432" i="1"/>
  <c r="M432" i="1"/>
  <c r="N432" i="1"/>
  <c r="O432" i="1"/>
  <c r="P432" i="1"/>
  <c r="Q432" i="1"/>
  <c r="A433" i="1"/>
  <c r="B433" i="1"/>
  <c r="C433" i="1"/>
  <c r="D433" i="1"/>
  <c r="E433" i="1"/>
  <c r="F433" i="1"/>
  <c r="G433" i="1"/>
  <c r="H433" i="1"/>
  <c r="I433" i="1"/>
  <c r="J433" i="1"/>
  <c r="K433" i="1"/>
  <c r="L433" i="1"/>
  <c r="M433" i="1"/>
  <c r="N433" i="1"/>
  <c r="O433" i="1"/>
  <c r="P433" i="1"/>
  <c r="Q433" i="1"/>
  <c r="A434" i="1"/>
  <c r="B434" i="1"/>
  <c r="C434" i="1"/>
  <c r="E434" i="1"/>
  <c r="F434" i="1"/>
  <c r="G434" i="1"/>
  <c r="H434" i="1"/>
  <c r="I434" i="1"/>
  <c r="J434" i="1"/>
  <c r="K434" i="1"/>
  <c r="L434" i="1"/>
  <c r="M434" i="1"/>
  <c r="N434" i="1"/>
  <c r="O434" i="1"/>
  <c r="P434" i="1"/>
  <c r="Q434" i="1"/>
  <c r="A435" i="1"/>
  <c r="B435" i="1"/>
  <c r="C435" i="1"/>
  <c r="E435" i="1"/>
  <c r="F435" i="1"/>
  <c r="G435" i="1"/>
  <c r="H435" i="1"/>
  <c r="I435" i="1"/>
  <c r="J435" i="1"/>
  <c r="K435" i="1"/>
  <c r="L435" i="1"/>
  <c r="M435" i="1"/>
  <c r="N435" i="1"/>
  <c r="O435" i="1"/>
  <c r="P435" i="1"/>
  <c r="Q435" i="1"/>
  <c r="A436" i="1"/>
  <c r="B436" i="1"/>
  <c r="C436" i="1"/>
  <c r="D436" i="1"/>
  <c r="E436" i="1"/>
  <c r="F436" i="1"/>
  <c r="G436" i="1"/>
  <c r="H436" i="1"/>
  <c r="I436" i="1"/>
  <c r="J436" i="1"/>
  <c r="K436" i="1"/>
  <c r="L436" i="1"/>
  <c r="M436" i="1"/>
  <c r="N436" i="1"/>
  <c r="O436" i="1"/>
  <c r="P436" i="1"/>
  <c r="Q436" i="1"/>
  <c r="A437" i="1"/>
  <c r="B437" i="1"/>
  <c r="C437" i="1"/>
  <c r="D437" i="1"/>
  <c r="E437" i="1"/>
  <c r="F437" i="1"/>
  <c r="G437" i="1"/>
  <c r="H437" i="1"/>
  <c r="I437" i="1"/>
  <c r="J437" i="1"/>
  <c r="K437" i="1"/>
  <c r="L437" i="1"/>
  <c r="M437" i="1"/>
  <c r="N437" i="1"/>
  <c r="O437" i="1"/>
  <c r="P437" i="1"/>
  <c r="Q437" i="1"/>
  <c r="A438" i="1"/>
  <c r="B438" i="1"/>
  <c r="C438" i="1"/>
  <c r="D438" i="1"/>
  <c r="E438" i="1"/>
  <c r="F438" i="1"/>
  <c r="G438" i="1"/>
  <c r="H438" i="1"/>
  <c r="I438" i="1"/>
  <c r="J438" i="1"/>
  <c r="K438" i="1"/>
  <c r="L438" i="1"/>
  <c r="M438" i="1"/>
  <c r="N438" i="1"/>
  <c r="O438" i="1"/>
  <c r="P438" i="1"/>
  <c r="Q438" i="1"/>
  <c r="A439" i="1"/>
  <c r="B439" i="1"/>
  <c r="C439" i="1"/>
  <c r="E439" i="1"/>
  <c r="F439" i="1"/>
  <c r="G439" i="1"/>
  <c r="H439" i="1"/>
  <c r="I439" i="1"/>
  <c r="J439" i="1"/>
  <c r="K439" i="1"/>
  <c r="L439" i="1"/>
  <c r="M439" i="1"/>
  <c r="N439" i="1"/>
  <c r="O439" i="1"/>
  <c r="P439" i="1"/>
  <c r="Q439" i="1"/>
  <c r="A440" i="1"/>
  <c r="B440" i="1"/>
  <c r="C440" i="1"/>
  <c r="E440" i="1"/>
  <c r="F440" i="1"/>
  <c r="G440" i="1"/>
  <c r="H440" i="1"/>
  <c r="I440" i="1"/>
  <c r="J440" i="1"/>
  <c r="K440" i="1"/>
  <c r="L440" i="1"/>
  <c r="M440" i="1"/>
  <c r="N440" i="1"/>
  <c r="O440" i="1"/>
  <c r="P440" i="1"/>
  <c r="Q440" i="1"/>
  <c r="A441" i="1"/>
  <c r="B441" i="1"/>
  <c r="C441" i="1"/>
  <c r="E441" i="1"/>
  <c r="F441" i="1"/>
  <c r="G441" i="1"/>
  <c r="H441" i="1"/>
  <c r="I441" i="1"/>
  <c r="J441" i="1"/>
  <c r="K441" i="1"/>
  <c r="L441" i="1"/>
  <c r="M441" i="1"/>
  <c r="N441" i="1"/>
  <c r="O441" i="1"/>
  <c r="P441" i="1"/>
  <c r="Q441" i="1"/>
  <c r="A442" i="1"/>
  <c r="B442" i="1"/>
  <c r="C442" i="1"/>
  <c r="E442" i="1"/>
  <c r="F442" i="1"/>
  <c r="G442" i="1"/>
  <c r="H442" i="1"/>
  <c r="I442" i="1"/>
  <c r="J442" i="1"/>
  <c r="K442" i="1"/>
  <c r="L442" i="1"/>
  <c r="M442" i="1"/>
  <c r="N442" i="1"/>
  <c r="O442" i="1"/>
  <c r="P442" i="1"/>
  <c r="Q442" i="1"/>
  <c r="A443" i="1"/>
  <c r="B443" i="1"/>
  <c r="C443" i="1"/>
  <c r="D443" i="1"/>
  <c r="E443" i="1"/>
  <c r="F443" i="1"/>
  <c r="G443" i="1"/>
  <c r="H443" i="1"/>
  <c r="I443" i="1"/>
  <c r="J443" i="1"/>
  <c r="K443" i="1"/>
  <c r="L443" i="1"/>
  <c r="M443" i="1"/>
  <c r="N443" i="1"/>
  <c r="O443" i="1"/>
  <c r="P443" i="1"/>
  <c r="Q443" i="1"/>
  <c r="A444" i="1"/>
  <c r="B444" i="1"/>
  <c r="C444" i="1"/>
  <c r="E444" i="1"/>
  <c r="F444" i="1"/>
  <c r="G444" i="1"/>
  <c r="H444" i="1"/>
  <c r="I444" i="1"/>
  <c r="J444" i="1"/>
  <c r="K444" i="1"/>
  <c r="L444" i="1"/>
  <c r="M444" i="1"/>
  <c r="N444" i="1"/>
  <c r="O444" i="1"/>
  <c r="P444" i="1"/>
  <c r="Q444" i="1"/>
  <c r="A445" i="1"/>
  <c r="B445" i="1"/>
  <c r="C445" i="1"/>
  <c r="E445" i="1"/>
  <c r="F445" i="1"/>
  <c r="G445" i="1"/>
  <c r="H445" i="1"/>
  <c r="I445" i="1"/>
  <c r="J445" i="1"/>
  <c r="K445" i="1"/>
  <c r="L445" i="1"/>
  <c r="M445" i="1"/>
  <c r="N445" i="1"/>
  <c r="O445" i="1"/>
  <c r="P445" i="1"/>
  <c r="Q445" i="1"/>
  <c r="A446" i="1"/>
  <c r="B446" i="1"/>
  <c r="C446" i="1"/>
  <c r="D446" i="1"/>
  <c r="E446" i="1"/>
  <c r="F446" i="1"/>
  <c r="G446" i="1"/>
  <c r="H446" i="1"/>
  <c r="I446" i="1"/>
  <c r="J446" i="1"/>
  <c r="K446" i="1"/>
  <c r="L446" i="1"/>
  <c r="M446" i="1"/>
  <c r="N446" i="1"/>
  <c r="O446" i="1"/>
  <c r="P446" i="1"/>
  <c r="Q446" i="1"/>
  <c r="A447" i="1"/>
  <c r="B447" i="1"/>
  <c r="C447" i="1"/>
  <c r="D447" i="1"/>
  <c r="E447" i="1"/>
  <c r="F447" i="1"/>
  <c r="G447" i="1"/>
  <c r="H447" i="1"/>
  <c r="I447" i="1"/>
  <c r="J447" i="1"/>
  <c r="K447" i="1"/>
  <c r="L447" i="1"/>
  <c r="M447" i="1"/>
  <c r="N447" i="1"/>
  <c r="O447" i="1"/>
  <c r="P447" i="1"/>
  <c r="Q447" i="1"/>
  <c r="A448" i="1"/>
  <c r="B448" i="1"/>
  <c r="C448" i="1"/>
  <c r="E448" i="1"/>
  <c r="F448" i="1"/>
  <c r="G448" i="1"/>
  <c r="H448" i="1"/>
  <c r="I448" i="1"/>
  <c r="J448" i="1"/>
  <c r="K448" i="1"/>
  <c r="L448" i="1"/>
  <c r="M448" i="1"/>
  <c r="N448" i="1"/>
  <c r="O448" i="1"/>
  <c r="P448" i="1"/>
  <c r="Q448" i="1"/>
  <c r="A449" i="1"/>
  <c r="B449" i="1"/>
  <c r="C449" i="1"/>
  <c r="D449" i="1"/>
  <c r="E449" i="1"/>
  <c r="F449" i="1"/>
  <c r="G449" i="1"/>
  <c r="H449" i="1"/>
  <c r="I449" i="1"/>
  <c r="J449" i="1"/>
  <c r="K449" i="1"/>
  <c r="L449" i="1"/>
  <c r="M449" i="1"/>
  <c r="N449" i="1"/>
  <c r="O449" i="1"/>
  <c r="P449" i="1"/>
  <c r="Q449" i="1"/>
  <c r="A450" i="1"/>
  <c r="B450" i="1"/>
  <c r="C450" i="1"/>
  <c r="E450" i="1"/>
  <c r="F450" i="1"/>
  <c r="G450" i="1"/>
  <c r="H450" i="1"/>
  <c r="I450" i="1"/>
  <c r="J450" i="1"/>
  <c r="K450" i="1"/>
  <c r="L450" i="1"/>
  <c r="M450" i="1"/>
  <c r="N450" i="1"/>
  <c r="O450" i="1"/>
  <c r="P450" i="1"/>
  <c r="Q450" i="1"/>
  <c r="A451" i="1"/>
  <c r="B451" i="1"/>
  <c r="C451" i="1"/>
  <c r="D451" i="1"/>
  <c r="E451" i="1"/>
  <c r="F451" i="1"/>
  <c r="G451" i="1"/>
  <c r="H451" i="1"/>
  <c r="I451" i="1"/>
  <c r="J451" i="1"/>
  <c r="K451" i="1"/>
  <c r="L451" i="1"/>
  <c r="M451" i="1"/>
  <c r="N451" i="1"/>
  <c r="O451" i="1"/>
  <c r="P451" i="1"/>
  <c r="Q451" i="1"/>
  <c r="A452" i="1"/>
  <c r="B452" i="1"/>
  <c r="C452" i="1"/>
  <c r="D452" i="1"/>
  <c r="E452" i="1"/>
  <c r="F452" i="1"/>
  <c r="G452" i="1"/>
  <c r="H452" i="1"/>
  <c r="I452" i="1"/>
  <c r="J452" i="1"/>
  <c r="K452" i="1"/>
  <c r="L452" i="1"/>
  <c r="M452" i="1"/>
  <c r="N452" i="1"/>
  <c r="O452" i="1"/>
  <c r="P452" i="1"/>
  <c r="Q452" i="1"/>
  <c r="A453" i="1"/>
  <c r="B453" i="1"/>
  <c r="C453" i="1"/>
  <c r="D453" i="1"/>
  <c r="E453" i="1"/>
  <c r="F453" i="1"/>
  <c r="G453" i="1"/>
  <c r="H453" i="1"/>
  <c r="I453" i="1"/>
  <c r="J453" i="1"/>
  <c r="K453" i="1"/>
  <c r="L453" i="1"/>
  <c r="M453" i="1"/>
  <c r="N453" i="1"/>
  <c r="O453" i="1"/>
  <c r="P453" i="1"/>
  <c r="Q453" i="1"/>
  <c r="A454" i="1"/>
  <c r="B454" i="1"/>
  <c r="C454" i="1"/>
  <c r="D454" i="1"/>
  <c r="E454" i="1"/>
  <c r="F454" i="1"/>
  <c r="G454" i="1"/>
  <c r="H454" i="1"/>
  <c r="I454" i="1"/>
  <c r="J454" i="1"/>
  <c r="K454" i="1"/>
  <c r="L454" i="1"/>
  <c r="M454" i="1"/>
  <c r="N454" i="1"/>
  <c r="O454" i="1"/>
  <c r="P454" i="1"/>
  <c r="Q454" i="1"/>
  <c r="A455" i="1"/>
  <c r="B455" i="1"/>
  <c r="C455" i="1"/>
  <c r="E455" i="1"/>
  <c r="F455" i="1"/>
  <c r="G455" i="1"/>
  <c r="H455" i="1"/>
  <c r="I455" i="1"/>
  <c r="J455" i="1"/>
  <c r="K455" i="1"/>
  <c r="L455" i="1"/>
  <c r="M455" i="1"/>
  <c r="N455" i="1"/>
  <c r="O455" i="1"/>
  <c r="P455" i="1"/>
  <c r="Q455" i="1"/>
  <c r="A456" i="1"/>
  <c r="B456" i="1"/>
  <c r="C456" i="1"/>
  <c r="E456" i="1"/>
  <c r="F456" i="1"/>
  <c r="G456" i="1"/>
  <c r="H456" i="1"/>
  <c r="I456" i="1"/>
  <c r="J456" i="1"/>
  <c r="K456" i="1"/>
  <c r="L456" i="1"/>
  <c r="M456" i="1"/>
  <c r="N456" i="1"/>
  <c r="O456" i="1"/>
  <c r="P456" i="1"/>
  <c r="Q456" i="1"/>
  <c r="A457" i="1"/>
  <c r="B457" i="1"/>
  <c r="C457" i="1"/>
  <c r="E457" i="1"/>
  <c r="F457" i="1"/>
  <c r="G457" i="1"/>
  <c r="H457" i="1"/>
  <c r="I457" i="1"/>
  <c r="J457" i="1"/>
  <c r="K457" i="1"/>
  <c r="L457" i="1"/>
  <c r="M457" i="1"/>
  <c r="N457" i="1"/>
  <c r="O457" i="1"/>
  <c r="P457" i="1"/>
  <c r="Q457" i="1"/>
  <c r="A458" i="1"/>
  <c r="B458" i="1"/>
  <c r="C458" i="1"/>
  <c r="E458" i="1"/>
  <c r="F458" i="1"/>
  <c r="G458" i="1"/>
  <c r="H458" i="1"/>
  <c r="I458" i="1"/>
  <c r="J458" i="1"/>
  <c r="K458" i="1"/>
  <c r="L458" i="1"/>
  <c r="M458" i="1"/>
  <c r="N458" i="1"/>
  <c r="O458" i="1"/>
  <c r="P458" i="1"/>
  <c r="Q458" i="1"/>
  <c r="A459" i="1"/>
  <c r="B459" i="1"/>
  <c r="C459" i="1"/>
  <c r="E459" i="1"/>
  <c r="F459" i="1"/>
  <c r="G459" i="1"/>
  <c r="H459" i="1"/>
  <c r="I459" i="1"/>
  <c r="J459" i="1"/>
  <c r="K459" i="1"/>
  <c r="L459" i="1"/>
  <c r="M459" i="1"/>
  <c r="N459" i="1"/>
  <c r="O459" i="1"/>
  <c r="P459" i="1"/>
  <c r="Q459" i="1"/>
  <c r="A460" i="1"/>
  <c r="B460" i="1"/>
  <c r="C460" i="1"/>
  <c r="D460" i="1"/>
  <c r="E460" i="1"/>
  <c r="F460" i="1"/>
  <c r="G460" i="1"/>
  <c r="H460" i="1"/>
  <c r="I460" i="1"/>
  <c r="J460" i="1"/>
  <c r="K460" i="1"/>
  <c r="L460" i="1"/>
  <c r="M460" i="1"/>
  <c r="N460" i="1"/>
  <c r="O460" i="1"/>
  <c r="P460" i="1"/>
  <c r="Q460" i="1"/>
  <c r="A461" i="1"/>
  <c r="B461" i="1"/>
  <c r="C461" i="1"/>
  <c r="D461" i="1"/>
  <c r="E461" i="1"/>
  <c r="F461" i="1"/>
  <c r="G461" i="1"/>
  <c r="H461" i="1"/>
  <c r="I461" i="1"/>
  <c r="J461" i="1"/>
  <c r="K461" i="1"/>
  <c r="L461" i="1"/>
  <c r="M461" i="1"/>
  <c r="N461" i="1"/>
  <c r="O461" i="1"/>
  <c r="P461" i="1"/>
  <c r="Q461" i="1"/>
  <c r="A462" i="1"/>
  <c r="B462" i="1"/>
  <c r="C462" i="1"/>
  <c r="D462" i="1"/>
  <c r="E462" i="1"/>
  <c r="F462" i="1"/>
  <c r="G462" i="1"/>
  <c r="H462" i="1"/>
  <c r="I462" i="1"/>
  <c r="J462" i="1"/>
  <c r="K462" i="1"/>
  <c r="L462" i="1"/>
  <c r="M462" i="1"/>
  <c r="N462" i="1"/>
  <c r="O462" i="1"/>
  <c r="P462" i="1"/>
  <c r="Q462" i="1"/>
  <c r="A463" i="1"/>
  <c r="B463" i="1"/>
  <c r="C463" i="1"/>
  <c r="E463" i="1"/>
  <c r="F463" i="1"/>
  <c r="G463" i="1"/>
  <c r="H463" i="1"/>
  <c r="I463" i="1"/>
  <c r="J463" i="1"/>
  <c r="K463" i="1"/>
  <c r="L463" i="1"/>
  <c r="M463" i="1"/>
  <c r="N463" i="1"/>
  <c r="O463" i="1"/>
  <c r="P463" i="1"/>
  <c r="Q463" i="1"/>
  <c r="A464" i="1"/>
  <c r="B464" i="1"/>
  <c r="C464" i="1"/>
  <c r="D464" i="1"/>
  <c r="E464" i="1"/>
  <c r="F464" i="1"/>
  <c r="G464" i="1"/>
  <c r="H464" i="1"/>
  <c r="I464" i="1"/>
  <c r="J464" i="1"/>
  <c r="K464" i="1"/>
  <c r="L464" i="1"/>
  <c r="M464" i="1"/>
  <c r="N464" i="1"/>
  <c r="O464" i="1"/>
  <c r="P464" i="1"/>
  <c r="Q464" i="1"/>
  <c r="A465" i="1"/>
  <c r="B465" i="1"/>
  <c r="C465" i="1"/>
  <c r="E465" i="1"/>
  <c r="F465" i="1"/>
  <c r="G465" i="1"/>
  <c r="H465" i="1"/>
  <c r="I465" i="1"/>
  <c r="J465" i="1"/>
  <c r="K465" i="1"/>
  <c r="L465" i="1"/>
  <c r="M465" i="1"/>
  <c r="N465" i="1"/>
  <c r="O465" i="1"/>
  <c r="P465" i="1"/>
  <c r="Q465" i="1"/>
  <c r="A466" i="1"/>
  <c r="B466" i="1"/>
  <c r="C466" i="1"/>
  <c r="D466" i="1"/>
  <c r="E466" i="1"/>
  <c r="F466" i="1"/>
  <c r="G466" i="1"/>
  <c r="H466" i="1"/>
  <c r="I466" i="1"/>
  <c r="J466" i="1"/>
  <c r="K466" i="1"/>
  <c r="L466" i="1"/>
  <c r="M466" i="1"/>
  <c r="N466" i="1"/>
  <c r="O466" i="1"/>
  <c r="P466" i="1"/>
  <c r="Q466" i="1"/>
  <c r="A467" i="1"/>
  <c r="B467" i="1"/>
  <c r="C467" i="1"/>
  <c r="D467" i="1"/>
  <c r="E467" i="1"/>
  <c r="F467" i="1"/>
  <c r="G467" i="1"/>
  <c r="H467" i="1"/>
  <c r="I467" i="1"/>
  <c r="J467" i="1"/>
  <c r="K467" i="1"/>
  <c r="L467" i="1"/>
  <c r="M467" i="1"/>
  <c r="N467" i="1"/>
  <c r="O467" i="1"/>
  <c r="P467" i="1"/>
  <c r="Q467" i="1"/>
  <c r="A468" i="1"/>
  <c r="B468" i="1"/>
  <c r="C468" i="1"/>
  <c r="E468" i="1"/>
  <c r="F468" i="1"/>
  <c r="G468" i="1"/>
  <c r="H468" i="1"/>
  <c r="I468" i="1"/>
  <c r="J468" i="1"/>
  <c r="K468" i="1"/>
  <c r="L468" i="1"/>
  <c r="M468" i="1"/>
  <c r="N468" i="1"/>
  <c r="O468" i="1"/>
  <c r="P468" i="1"/>
  <c r="Q468" i="1"/>
  <c r="A469" i="1"/>
  <c r="B469" i="1"/>
  <c r="C469" i="1"/>
  <c r="E469" i="1"/>
  <c r="F469" i="1"/>
  <c r="G469" i="1"/>
  <c r="H469" i="1"/>
  <c r="I469" i="1"/>
  <c r="J469" i="1"/>
  <c r="K469" i="1"/>
  <c r="L469" i="1"/>
  <c r="M469" i="1"/>
  <c r="N469" i="1"/>
  <c r="O469" i="1"/>
  <c r="P469" i="1"/>
  <c r="Q469" i="1"/>
  <c r="A470" i="1"/>
  <c r="B470" i="1"/>
  <c r="C470" i="1"/>
  <c r="E470" i="1"/>
  <c r="F470" i="1"/>
  <c r="G470" i="1"/>
  <c r="H470" i="1"/>
  <c r="I470" i="1"/>
  <c r="J470" i="1"/>
  <c r="K470" i="1"/>
  <c r="L470" i="1"/>
  <c r="M470" i="1"/>
  <c r="N470" i="1"/>
  <c r="O470" i="1"/>
  <c r="P470" i="1"/>
  <c r="Q470" i="1"/>
  <c r="A471" i="1"/>
  <c r="B471" i="1"/>
  <c r="C471" i="1"/>
  <c r="E471" i="1"/>
  <c r="F471" i="1"/>
  <c r="G471" i="1"/>
  <c r="H471" i="1"/>
  <c r="I471" i="1"/>
  <c r="J471" i="1"/>
  <c r="K471" i="1"/>
  <c r="L471" i="1"/>
  <c r="M471" i="1"/>
  <c r="N471" i="1"/>
  <c r="O471" i="1"/>
  <c r="P471" i="1"/>
  <c r="Q471" i="1"/>
  <c r="A472" i="1"/>
  <c r="B472" i="1"/>
  <c r="C472" i="1"/>
  <c r="E472" i="1"/>
  <c r="F472" i="1"/>
  <c r="G472" i="1"/>
  <c r="H472" i="1"/>
  <c r="I472" i="1"/>
  <c r="J472" i="1"/>
  <c r="K472" i="1"/>
  <c r="L472" i="1"/>
  <c r="M472" i="1"/>
  <c r="N472" i="1"/>
  <c r="O472" i="1"/>
  <c r="P472" i="1"/>
  <c r="Q472" i="1"/>
  <c r="A473" i="1"/>
  <c r="B473" i="1"/>
  <c r="C473" i="1"/>
  <c r="D473" i="1"/>
  <c r="E473" i="1"/>
  <c r="F473" i="1"/>
  <c r="G473" i="1"/>
  <c r="H473" i="1"/>
  <c r="I473" i="1"/>
  <c r="J473" i="1"/>
  <c r="K473" i="1"/>
  <c r="L473" i="1"/>
  <c r="M473" i="1"/>
  <c r="N473" i="1"/>
  <c r="O473" i="1"/>
  <c r="P473" i="1"/>
  <c r="Q473" i="1"/>
  <c r="A474" i="1"/>
  <c r="B474" i="1"/>
  <c r="C474" i="1"/>
  <c r="D474" i="1"/>
  <c r="E474" i="1"/>
  <c r="F474" i="1"/>
  <c r="G474" i="1"/>
  <c r="H474" i="1"/>
  <c r="I474" i="1"/>
  <c r="J474" i="1"/>
  <c r="K474" i="1"/>
  <c r="L474" i="1"/>
  <c r="M474" i="1"/>
  <c r="N474" i="1"/>
  <c r="O474" i="1"/>
  <c r="P474" i="1"/>
  <c r="Q474" i="1"/>
  <c r="A475" i="1"/>
  <c r="B475" i="1"/>
  <c r="C475" i="1"/>
  <c r="E475" i="1"/>
  <c r="F475" i="1"/>
  <c r="G475" i="1"/>
  <c r="H475" i="1"/>
  <c r="I475" i="1"/>
  <c r="J475" i="1"/>
  <c r="K475" i="1"/>
  <c r="L475" i="1"/>
  <c r="M475" i="1"/>
  <c r="N475" i="1"/>
  <c r="O475" i="1"/>
  <c r="P475" i="1"/>
  <c r="Q475" i="1"/>
  <c r="A476" i="1"/>
  <c r="B476" i="1"/>
  <c r="C476" i="1"/>
  <c r="D476" i="1"/>
  <c r="E476" i="1"/>
  <c r="F476" i="1"/>
  <c r="G476" i="1"/>
  <c r="H476" i="1"/>
  <c r="I476" i="1"/>
  <c r="J476" i="1"/>
  <c r="K476" i="1"/>
  <c r="L476" i="1"/>
  <c r="M476" i="1"/>
  <c r="N476" i="1"/>
  <c r="O476" i="1"/>
  <c r="P476" i="1"/>
  <c r="Q476" i="1"/>
  <c r="A477" i="1"/>
  <c r="B477" i="1"/>
  <c r="C477" i="1"/>
  <c r="D477" i="1"/>
  <c r="E477" i="1"/>
  <c r="F477" i="1"/>
  <c r="G477" i="1"/>
  <c r="H477" i="1"/>
  <c r="I477" i="1"/>
  <c r="J477" i="1"/>
  <c r="K477" i="1"/>
  <c r="L477" i="1"/>
  <c r="M477" i="1"/>
  <c r="N477" i="1"/>
  <c r="O477" i="1"/>
  <c r="P477" i="1"/>
  <c r="Q477" i="1"/>
  <c r="A478" i="1"/>
  <c r="B478" i="1"/>
  <c r="C478" i="1"/>
  <c r="E478" i="1"/>
  <c r="F478" i="1"/>
  <c r="G478" i="1"/>
  <c r="H478" i="1"/>
  <c r="I478" i="1"/>
  <c r="J478" i="1"/>
  <c r="K478" i="1"/>
  <c r="L478" i="1"/>
  <c r="M478" i="1"/>
  <c r="N478" i="1"/>
  <c r="O478" i="1"/>
  <c r="P478" i="1"/>
  <c r="Q478" i="1"/>
  <c r="A479" i="1"/>
  <c r="B479" i="1"/>
  <c r="C479" i="1"/>
  <c r="D479" i="1"/>
  <c r="E479" i="1"/>
  <c r="F479" i="1"/>
  <c r="G479" i="1"/>
  <c r="H479" i="1"/>
  <c r="I479" i="1"/>
  <c r="J479" i="1"/>
  <c r="K479" i="1"/>
  <c r="L479" i="1"/>
  <c r="M479" i="1"/>
  <c r="N479" i="1"/>
  <c r="O479" i="1"/>
  <c r="P479" i="1"/>
  <c r="Q479" i="1"/>
  <c r="A480" i="1"/>
  <c r="B480" i="1"/>
  <c r="C480" i="1"/>
  <c r="E480" i="1"/>
  <c r="F480" i="1"/>
  <c r="G480" i="1"/>
  <c r="H480" i="1"/>
  <c r="I480" i="1"/>
  <c r="J480" i="1"/>
  <c r="K480" i="1"/>
  <c r="L480" i="1"/>
  <c r="M480" i="1"/>
  <c r="N480" i="1"/>
  <c r="O480" i="1"/>
  <c r="P480" i="1"/>
  <c r="Q480" i="1"/>
  <c r="A481" i="1"/>
  <c r="B481" i="1"/>
  <c r="C481" i="1"/>
  <c r="D481" i="1"/>
  <c r="E481" i="1"/>
  <c r="F481" i="1"/>
  <c r="G481" i="1"/>
  <c r="H481" i="1"/>
  <c r="I481" i="1"/>
  <c r="J481" i="1"/>
  <c r="K481" i="1"/>
  <c r="L481" i="1"/>
  <c r="M481" i="1"/>
  <c r="N481" i="1"/>
  <c r="O481" i="1"/>
  <c r="P481" i="1"/>
  <c r="Q481" i="1"/>
  <c r="A482" i="1"/>
  <c r="B482" i="1"/>
  <c r="C482" i="1"/>
  <c r="E482" i="1"/>
  <c r="F482" i="1"/>
  <c r="G482" i="1"/>
  <c r="H482" i="1"/>
  <c r="I482" i="1"/>
  <c r="J482" i="1"/>
  <c r="K482" i="1"/>
  <c r="L482" i="1"/>
  <c r="M482" i="1"/>
  <c r="N482" i="1"/>
  <c r="O482" i="1"/>
  <c r="P482" i="1"/>
  <c r="Q482" i="1"/>
  <c r="A483" i="1"/>
  <c r="B483" i="1"/>
  <c r="C483" i="1"/>
  <c r="E483" i="1"/>
  <c r="F483" i="1"/>
  <c r="G483" i="1"/>
  <c r="H483" i="1"/>
  <c r="I483" i="1"/>
  <c r="J483" i="1"/>
  <c r="K483" i="1"/>
  <c r="L483" i="1"/>
  <c r="M483" i="1"/>
  <c r="N483" i="1"/>
  <c r="O483" i="1"/>
  <c r="P483" i="1"/>
  <c r="Q483" i="1"/>
  <c r="A484" i="1"/>
  <c r="B484" i="1"/>
  <c r="C484" i="1"/>
  <c r="D484" i="1"/>
  <c r="E484" i="1"/>
  <c r="F484" i="1"/>
  <c r="G484" i="1"/>
  <c r="H484" i="1"/>
  <c r="I484" i="1"/>
  <c r="J484" i="1"/>
  <c r="K484" i="1"/>
  <c r="L484" i="1"/>
  <c r="M484" i="1"/>
  <c r="N484" i="1"/>
  <c r="O484" i="1"/>
  <c r="P484" i="1"/>
  <c r="Q484" i="1"/>
  <c r="A485" i="1"/>
  <c r="B485" i="1"/>
  <c r="C485" i="1"/>
  <c r="E485" i="1"/>
  <c r="F485" i="1"/>
  <c r="G485" i="1"/>
  <c r="H485" i="1"/>
  <c r="I485" i="1"/>
  <c r="J485" i="1"/>
  <c r="K485" i="1"/>
  <c r="L485" i="1"/>
  <c r="M485" i="1"/>
  <c r="N485" i="1"/>
  <c r="O485" i="1"/>
  <c r="P485" i="1"/>
  <c r="Q485" i="1"/>
  <c r="A486" i="1"/>
  <c r="B486" i="1"/>
  <c r="C486" i="1"/>
  <c r="D486" i="1"/>
  <c r="E486" i="1"/>
  <c r="F486" i="1"/>
  <c r="G486" i="1"/>
  <c r="H486" i="1"/>
  <c r="I486" i="1"/>
  <c r="J486" i="1"/>
  <c r="K486" i="1"/>
  <c r="L486" i="1"/>
  <c r="M486" i="1"/>
  <c r="N486" i="1"/>
  <c r="O486" i="1"/>
  <c r="P486" i="1"/>
  <c r="Q486" i="1"/>
  <c r="A487" i="1"/>
  <c r="B487" i="1"/>
  <c r="C487" i="1"/>
  <c r="D487" i="1"/>
  <c r="E487" i="1"/>
  <c r="F487" i="1"/>
  <c r="G487" i="1"/>
  <c r="H487" i="1"/>
  <c r="I487" i="1"/>
  <c r="J487" i="1"/>
  <c r="K487" i="1"/>
  <c r="L487" i="1"/>
  <c r="M487" i="1"/>
  <c r="N487" i="1"/>
  <c r="O487" i="1"/>
  <c r="P487" i="1"/>
  <c r="Q487" i="1"/>
  <c r="A488" i="1"/>
  <c r="B488" i="1"/>
  <c r="C488" i="1"/>
  <c r="D488" i="1"/>
  <c r="E488" i="1"/>
  <c r="F488" i="1"/>
  <c r="G488" i="1"/>
  <c r="H488" i="1"/>
  <c r="I488" i="1"/>
  <c r="J488" i="1"/>
  <c r="K488" i="1"/>
  <c r="L488" i="1"/>
  <c r="M488" i="1"/>
  <c r="N488" i="1"/>
  <c r="O488" i="1"/>
  <c r="P488" i="1"/>
  <c r="Q488" i="1"/>
  <c r="A489" i="1"/>
  <c r="B489" i="1"/>
  <c r="C489" i="1"/>
  <c r="E489" i="1"/>
  <c r="F489" i="1"/>
  <c r="G489" i="1"/>
  <c r="H489" i="1"/>
  <c r="I489" i="1"/>
  <c r="J489" i="1"/>
  <c r="K489" i="1"/>
  <c r="L489" i="1"/>
  <c r="M489" i="1"/>
  <c r="N489" i="1"/>
  <c r="O489" i="1"/>
  <c r="P489" i="1"/>
  <c r="Q489" i="1"/>
  <c r="A490" i="1"/>
  <c r="B490" i="1"/>
  <c r="C490" i="1"/>
  <c r="D490" i="1"/>
  <c r="E490" i="1"/>
  <c r="F490" i="1"/>
  <c r="G490" i="1"/>
  <c r="H490" i="1"/>
  <c r="I490" i="1"/>
  <c r="J490" i="1"/>
  <c r="K490" i="1"/>
  <c r="L490" i="1"/>
  <c r="M490" i="1"/>
  <c r="N490" i="1"/>
  <c r="O490" i="1"/>
  <c r="P490" i="1"/>
  <c r="Q490" i="1"/>
  <c r="A491" i="1"/>
  <c r="B491" i="1"/>
  <c r="C491" i="1"/>
  <c r="D491" i="1"/>
  <c r="E491" i="1"/>
  <c r="F491" i="1"/>
  <c r="G491" i="1"/>
  <c r="H491" i="1"/>
  <c r="I491" i="1"/>
  <c r="J491" i="1"/>
  <c r="K491" i="1"/>
  <c r="L491" i="1"/>
  <c r="M491" i="1"/>
  <c r="N491" i="1"/>
  <c r="O491" i="1"/>
  <c r="P491" i="1"/>
  <c r="Q491" i="1"/>
  <c r="A492" i="1"/>
  <c r="B492" i="1"/>
  <c r="C492" i="1"/>
  <c r="D492" i="1"/>
  <c r="E492" i="1"/>
  <c r="F492" i="1"/>
  <c r="G492" i="1"/>
  <c r="H492" i="1"/>
  <c r="I492" i="1"/>
  <c r="J492" i="1"/>
  <c r="K492" i="1"/>
  <c r="L492" i="1"/>
  <c r="M492" i="1"/>
  <c r="N492" i="1"/>
  <c r="O492" i="1"/>
  <c r="P492" i="1"/>
  <c r="Q492" i="1"/>
  <c r="A493" i="1"/>
  <c r="B493" i="1"/>
  <c r="C493" i="1"/>
  <c r="D493" i="1"/>
  <c r="E493" i="1"/>
  <c r="F493" i="1"/>
  <c r="G493" i="1"/>
  <c r="H493" i="1"/>
  <c r="I493" i="1"/>
  <c r="J493" i="1"/>
  <c r="K493" i="1"/>
  <c r="L493" i="1"/>
  <c r="M493" i="1"/>
  <c r="N493" i="1"/>
  <c r="O493" i="1"/>
  <c r="P493" i="1"/>
  <c r="Q493" i="1"/>
  <c r="A494" i="1"/>
  <c r="B494" i="1"/>
  <c r="C494" i="1"/>
  <c r="E494" i="1"/>
  <c r="F494" i="1"/>
  <c r="G494" i="1"/>
  <c r="H494" i="1"/>
  <c r="I494" i="1"/>
  <c r="J494" i="1"/>
  <c r="K494" i="1"/>
  <c r="L494" i="1"/>
  <c r="M494" i="1"/>
  <c r="N494" i="1"/>
  <c r="O494" i="1"/>
  <c r="P494" i="1"/>
  <c r="Q494" i="1"/>
  <c r="A495" i="1"/>
  <c r="B495" i="1"/>
  <c r="C495" i="1"/>
  <c r="D495" i="1"/>
  <c r="E495" i="1"/>
  <c r="F495" i="1"/>
  <c r="G495" i="1"/>
  <c r="H495" i="1"/>
  <c r="I495" i="1"/>
  <c r="J495" i="1"/>
  <c r="K495" i="1"/>
  <c r="L495" i="1"/>
  <c r="M495" i="1"/>
  <c r="N495" i="1"/>
  <c r="O495" i="1"/>
  <c r="P495" i="1"/>
  <c r="Q495" i="1"/>
  <c r="A496" i="1"/>
  <c r="B496" i="1"/>
  <c r="C496" i="1"/>
  <c r="D496" i="1"/>
  <c r="E496" i="1"/>
  <c r="F496" i="1"/>
  <c r="G496" i="1"/>
  <c r="H496" i="1"/>
  <c r="I496" i="1"/>
  <c r="J496" i="1"/>
  <c r="K496" i="1"/>
  <c r="L496" i="1"/>
  <c r="M496" i="1"/>
  <c r="N496" i="1"/>
  <c r="O496" i="1"/>
  <c r="P496" i="1"/>
  <c r="Q496" i="1"/>
  <c r="A497" i="1"/>
  <c r="B497" i="1"/>
  <c r="C497" i="1"/>
  <c r="D497" i="1"/>
  <c r="E497" i="1"/>
  <c r="F497" i="1"/>
  <c r="G497" i="1"/>
  <c r="H497" i="1"/>
  <c r="I497" i="1"/>
  <c r="J497" i="1"/>
  <c r="K497" i="1"/>
  <c r="L497" i="1"/>
  <c r="M497" i="1"/>
  <c r="N497" i="1"/>
  <c r="O497" i="1"/>
  <c r="P497" i="1"/>
  <c r="Q497" i="1"/>
  <c r="A498" i="1"/>
  <c r="B498" i="1"/>
  <c r="C498" i="1"/>
  <c r="D498" i="1"/>
  <c r="E498" i="1"/>
  <c r="F498" i="1"/>
  <c r="G498" i="1"/>
  <c r="H498" i="1"/>
  <c r="I498" i="1"/>
  <c r="J498" i="1"/>
  <c r="K498" i="1"/>
  <c r="L498" i="1"/>
  <c r="M498" i="1"/>
  <c r="N498" i="1"/>
  <c r="O498" i="1"/>
  <c r="P498" i="1"/>
  <c r="Q498" i="1"/>
  <c r="A499" i="1"/>
  <c r="B499" i="1"/>
  <c r="C499" i="1"/>
  <c r="D499" i="1"/>
  <c r="E499" i="1"/>
  <c r="F499" i="1"/>
  <c r="G499" i="1"/>
  <c r="H499" i="1"/>
  <c r="I499" i="1"/>
  <c r="J499" i="1"/>
  <c r="K499" i="1"/>
  <c r="L499" i="1"/>
  <c r="M499" i="1"/>
  <c r="N499" i="1"/>
  <c r="O499" i="1"/>
  <c r="P499" i="1"/>
  <c r="Q499" i="1"/>
  <c r="A500" i="1"/>
  <c r="B500" i="1"/>
  <c r="C500" i="1"/>
  <c r="D500" i="1"/>
  <c r="E500" i="1"/>
  <c r="F500" i="1"/>
  <c r="G500" i="1"/>
  <c r="H500" i="1"/>
  <c r="I500" i="1"/>
  <c r="J500" i="1"/>
  <c r="K500" i="1"/>
  <c r="L500" i="1"/>
  <c r="M500" i="1"/>
  <c r="N500" i="1"/>
  <c r="O500" i="1"/>
  <c r="P500" i="1"/>
  <c r="Q500" i="1"/>
  <c r="A501" i="1"/>
  <c r="B501" i="1"/>
  <c r="C501" i="1"/>
  <c r="D501" i="1"/>
  <c r="E501" i="1"/>
  <c r="F501" i="1"/>
  <c r="G501" i="1"/>
  <c r="H501" i="1"/>
  <c r="I501" i="1"/>
  <c r="J501" i="1"/>
  <c r="K501" i="1"/>
  <c r="L501" i="1"/>
  <c r="M501" i="1"/>
  <c r="N501" i="1"/>
  <c r="O501" i="1"/>
  <c r="P501" i="1"/>
  <c r="Q501" i="1"/>
  <c r="A502" i="1"/>
  <c r="B502" i="1"/>
  <c r="C502" i="1"/>
  <c r="D502" i="1"/>
  <c r="E502" i="1"/>
  <c r="F502" i="1"/>
  <c r="G502" i="1"/>
  <c r="H502" i="1"/>
  <c r="I502" i="1"/>
  <c r="J502" i="1"/>
  <c r="K502" i="1"/>
  <c r="L502" i="1"/>
  <c r="M502" i="1"/>
  <c r="N502" i="1"/>
  <c r="O502" i="1"/>
  <c r="P502" i="1"/>
  <c r="Q502" i="1"/>
  <c r="A503" i="1"/>
  <c r="B503" i="1"/>
  <c r="C503" i="1"/>
  <c r="D503" i="1"/>
  <c r="E503" i="1"/>
  <c r="F503" i="1"/>
  <c r="G503" i="1"/>
  <c r="H503" i="1"/>
  <c r="I503" i="1"/>
  <c r="J503" i="1"/>
  <c r="K503" i="1"/>
  <c r="L503" i="1"/>
  <c r="M503" i="1"/>
  <c r="N503" i="1"/>
  <c r="O503" i="1"/>
  <c r="P503" i="1"/>
  <c r="Q503" i="1"/>
  <c r="A504" i="1"/>
  <c r="B504" i="1"/>
  <c r="C504" i="1"/>
  <c r="D504" i="1"/>
  <c r="E504" i="1"/>
  <c r="F504" i="1"/>
  <c r="G504" i="1"/>
  <c r="H504" i="1"/>
  <c r="I504" i="1"/>
  <c r="J504" i="1"/>
  <c r="K504" i="1"/>
  <c r="L504" i="1"/>
  <c r="M504" i="1"/>
  <c r="N504" i="1"/>
  <c r="O504" i="1"/>
  <c r="P504" i="1"/>
  <c r="Q504" i="1"/>
  <c r="A505" i="1"/>
  <c r="B505" i="1"/>
  <c r="C505" i="1"/>
  <c r="D505" i="1"/>
  <c r="E505" i="1"/>
  <c r="F505" i="1"/>
  <c r="G505" i="1"/>
  <c r="H505" i="1"/>
  <c r="I505" i="1"/>
  <c r="J505" i="1"/>
  <c r="K505" i="1"/>
  <c r="L505" i="1"/>
  <c r="M505" i="1"/>
  <c r="N505" i="1"/>
  <c r="O505" i="1"/>
  <c r="P505" i="1"/>
  <c r="Q505" i="1"/>
  <c r="A506" i="1"/>
  <c r="B506" i="1"/>
  <c r="C506" i="1"/>
  <c r="D506" i="1"/>
  <c r="E506" i="1"/>
  <c r="F506" i="1"/>
  <c r="G506" i="1"/>
  <c r="H506" i="1"/>
  <c r="I506" i="1"/>
  <c r="J506" i="1"/>
  <c r="K506" i="1"/>
  <c r="L506" i="1"/>
  <c r="M506" i="1"/>
  <c r="N506" i="1"/>
  <c r="O506" i="1"/>
  <c r="P506" i="1"/>
  <c r="Q506" i="1"/>
  <c r="A507" i="1"/>
  <c r="B507" i="1"/>
  <c r="C507" i="1"/>
  <c r="D507" i="1"/>
  <c r="E507" i="1"/>
  <c r="F507" i="1"/>
  <c r="G507" i="1"/>
  <c r="H507" i="1"/>
  <c r="I507" i="1"/>
  <c r="J507" i="1"/>
  <c r="K507" i="1"/>
  <c r="L507" i="1"/>
  <c r="M507" i="1"/>
  <c r="N507" i="1"/>
  <c r="O507" i="1"/>
  <c r="P507" i="1"/>
  <c r="Q507" i="1"/>
  <c r="A508" i="1"/>
  <c r="B508" i="1"/>
  <c r="C508" i="1"/>
  <c r="D508" i="1"/>
  <c r="E508" i="1"/>
  <c r="F508" i="1"/>
  <c r="G508" i="1"/>
  <c r="H508" i="1"/>
  <c r="I508" i="1"/>
  <c r="J508" i="1"/>
  <c r="K508" i="1"/>
  <c r="L508" i="1"/>
  <c r="M508" i="1"/>
  <c r="N508" i="1"/>
  <c r="O508" i="1"/>
  <c r="P508" i="1"/>
  <c r="Q508" i="1"/>
  <c r="A509" i="1"/>
  <c r="B509" i="1"/>
  <c r="C509" i="1"/>
  <c r="E509" i="1"/>
  <c r="F509" i="1"/>
  <c r="G509" i="1"/>
  <c r="H509" i="1"/>
  <c r="I509" i="1"/>
  <c r="J509" i="1"/>
  <c r="K509" i="1"/>
  <c r="L509" i="1"/>
  <c r="M509" i="1"/>
  <c r="N509" i="1"/>
  <c r="O509" i="1"/>
  <c r="P509" i="1"/>
  <c r="Q509" i="1"/>
  <c r="A510" i="1"/>
  <c r="B510" i="1"/>
  <c r="C510" i="1"/>
  <c r="E510" i="1"/>
  <c r="F510" i="1"/>
  <c r="G510" i="1"/>
  <c r="H510" i="1"/>
  <c r="I510" i="1"/>
  <c r="J510" i="1"/>
  <c r="K510" i="1"/>
  <c r="L510" i="1"/>
  <c r="M510" i="1"/>
  <c r="N510" i="1"/>
  <c r="O510" i="1"/>
  <c r="P510" i="1"/>
  <c r="Q510" i="1"/>
  <c r="A511" i="1"/>
  <c r="B511" i="1"/>
  <c r="C511" i="1"/>
  <c r="E511" i="1"/>
  <c r="F511" i="1"/>
  <c r="G511" i="1"/>
  <c r="H511" i="1"/>
  <c r="I511" i="1"/>
  <c r="J511" i="1"/>
  <c r="K511" i="1"/>
  <c r="L511" i="1"/>
  <c r="M511" i="1"/>
  <c r="N511" i="1"/>
  <c r="O511" i="1"/>
  <c r="P511" i="1"/>
  <c r="Q511" i="1"/>
  <c r="A512" i="1"/>
  <c r="B512" i="1"/>
  <c r="E512" i="1"/>
  <c r="F512" i="1"/>
  <c r="G512" i="1"/>
  <c r="H512" i="1"/>
  <c r="I512" i="1"/>
  <c r="J512" i="1"/>
  <c r="K512" i="1"/>
  <c r="L512" i="1"/>
  <c r="M512" i="1"/>
  <c r="N512" i="1"/>
  <c r="O512" i="1"/>
  <c r="P512" i="1"/>
  <c r="Q512" i="1"/>
  <c r="A513" i="1"/>
  <c r="B513" i="1"/>
  <c r="C513" i="1"/>
  <c r="E513" i="1"/>
  <c r="F513" i="1"/>
  <c r="G513" i="1"/>
  <c r="H513" i="1"/>
  <c r="I513" i="1"/>
  <c r="J513" i="1"/>
  <c r="K513" i="1"/>
  <c r="L513" i="1"/>
  <c r="M513" i="1"/>
  <c r="N513" i="1"/>
  <c r="O513" i="1"/>
  <c r="P513" i="1"/>
  <c r="Q513" i="1"/>
  <c r="A514" i="1"/>
  <c r="B514" i="1"/>
  <c r="C514" i="1"/>
  <c r="E514" i="1"/>
  <c r="F514" i="1"/>
  <c r="G514" i="1"/>
  <c r="H514" i="1"/>
  <c r="I514" i="1"/>
  <c r="J514" i="1"/>
  <c r="K514" i="1"/>
  <c r="L514" i="1"/>
  <c r="M514" i="1"/>
  <c r="N514" i="1"/>
  <c r="O514" i="1"/>
  <c r="P514" i="1"/>
  <c r="Q514" i="1"/>
  <c r="A515" i="1"/>
  <c r="B515" i="1"/>
  <c r="C515" i="1"/>
  <c r="D515" i="1"/>
  <c r="E515" i="1"/>
  <c r="F515" i="1"/>
  <c r="G515" i="1"/>
  <c r="H515" i="1"/>
  <c r="I515" i="1"/>
  <c r="J515" i="1"/>
  <c r="K515" i="1"/>
  <c r="L515" i="1"/>
  <c r="M515" i="1"/>
  <c r="N515" i="1"/>
  <c r="O515" i="1"/>
  <c r="P515" i="1"/>
  <c r="Q515" i="1"/>
  <c r="A516" i="1"/>
  <c r="B516" i="1"/>
  <c r="C516" i="1"/>
  <c r="E516" i="1"/>
  <c r="F516" i="1"/>
  <c r="G516" i="1"/>
  <c r="H516" i="1"/>
  <c r="I516" i="1"/>
  <c r="J516" i="1"/>
  <c r="K516" i="1"/>
  <c r="L516" i="1"/>
  <c r="M516" i="1"/>
  <c r="N516" i="1"/>
  <c r="O516" i="1"/>
  <c r="P516" i="1"/>
  <c r="Q516" i="1"/>
  <c r="A517" i="1"/>
  <c r="B517" i="1"/>
  <c r="C517" i="1"/>
  <c r="D517" i="1"/>
  <c r="E517" i="1"/>
  <c r="F517" i="1"/>
  <c r="G517" i="1"/>
  <c r="H517" i="1"/>
  <c r="I517" i="1"/>
  <c r="J517" i="1"/>
  <c r="K517" i="1"/>
  <c r="L517" i="1"/>
  <c r="M517" i="1"/>
  <c r="N517" i="1"/>
  <c r="O517" i="1"/>
  <c r="P517" i="1"/>
  <c r="Q517" i="1"/>
  <c r="A518" i="1"/>
  <c r="B518" i="1"/>
  <c r="C518" i="1"/>
  <c r="E518" i="1"/>
  <c r="F518" i="1"/>
  <c r="G518" i="1"/>
  <c r="H518" i="1"/>
  <c r="I518" i="1"/>
  <c r="J518" i="1"/>
  <c r="K518" i="1"/>
  <c r="L518" i="1"/>
  <c r="M518" i="1"/>
  <c r="N518" i="1"/>
  <c r="O518" i="1"/>
  <c r="P518" i="1"/>
  <c r="Q518" i="1"/>
  <c r="A519" i="1"/>
  <c r="B519" i="1"/>
  <c r="C519" i="1"/>
  <c r="E519" i="1"/>
  <c r="F519" i="1"/>
  <c r="G519" i="1"/>
  <c r="H519" i="1"/>
  <c r="I519" i="1"/>
  <c r="J519" i="1"/>
  <c r="K519" i="1"/>
  <c r="L519" i="1"/>
  <c r="M519" i="1"/>
  <c r="N519" i="1"/>
  <c r="O519" i="1"/>
  <c r="P519" i="1"/>
  <c r="Q519" i="1"/>
  <c r="A520" i="1"/>
  <c r="B520" i="1"/>
  <c r="C520" i="1"/>
  <c r="E520" i="1"/>
  <c r="F520" i="1"/>
  <c r="G520" i="1"/>
  <c r="H520" i="1"/>
  <c r="I520" i="1"/>
  <c r="J520" i="1"/>
  <c r="K520" i="1"/>
  <c r="L520" i="1"/>
  <c r="M520" i="1"/>
  <c r="N520" i="1"/>
  <c r="O520" i="1"/>
  <c r="P520" i="1"/>
  <c r="Q520" i="1"/>
  <c r="A521" i="1"/>
  <c r="B521" i="1"/>
  <c r="C521" i="1"/>
  <c r="E521" i="1"/>
  <c r="F521" i="1"/>
  <c r="G521" i="1"/>
  <c r="H521" i="1"/>
  <c r="I521" i="1"/>
  <c r="J521" i="1"/>
  <c r="K521" i="1"/>
  <c r="L521" i="1"/>
  <c r="M521" i="1"/>
  <c r="N521" i="1"/>
  <c r="O521" i="1"/>
  <c r="P521" i="1"/>
  <c r="Q521" i="1"/>
  <c r="A522" i="1"/>
  <c r="B522" i="1"/>
  <c r="C522" i="1"/>
  <c r="E522" i="1"/>
  <c r="F522" i="1"/>
  <c r="G522" i="1"/>
  <c r="H522" i="1"/>
  <c r="I522" i="1"/>
  <c r="J522" i="1"/>
  <c r="K522" i="1"/>
  <c r="L522" i="1"/>
  <c r="M522" i="1"/>
  <c r="N522" i="1"/>
  <c r="O522" i="1"/>
  <c r="P522" i="1"/>
  <c r="Q522" i="1"/>
  <c r="A523" i="1"/>
  <c r="B523" i="1"/>
  <c r="C523" i="1"/>
  <c r="E523" i="1"/>
  <c r="F523" i="1"/>
  <c r="G523" i="1"/>
  <c r="H523" i="1"/>
  <c r="I523" i="1"/>
  <c r="J523" i="1"/>
  <c r="K523" i="1"/>
  <c r="L523" i="1"/>
  <c r="M523" i="1"/>
  <c r="N523" i="1"/>
  <c r="O523" i="1"/>
  <c r="P523" i="1"/>
  <c r="Q523" i="1"/>
  <c r="A524" i="1"/>
  <c r="B524" i="1"/>
  <c r="C524" i="1"/>
  <c r="E524" i="1"/>
  <c r="F524" i="1"/>
  <c r="G524" i="1"/>
  <c r="H524" i="1"/>
  <c r="I524" i="1"/>
  <c r="J524" i="1"/>
  <c r="K524" i="1"/>
  <c r="L524" i="1"/>
  <c r="M524" i="1"/>
  <c r="N524" i="1"/>
  <c r="O524" i="1"/>
  <c r="P524" i="1"/>
  <c r="Q524" i="1"/>
  <c r="A525" i="1"/>
  <c r="B525" i="1"/>
  <c r="C525" i="1"/>
  <c r="D525" i="1"/>
  <c r="E525" i="1"/>
  <c r="F525" i="1"/>
  <c r="G525" i="1"/>
  <c r="H525" i="1"/>
  <c r="I525" i="1"/>
  <c r="J525" i="1"/>
  <c r="K525" i="1"/>
  <c r="L525" i="1"/>
  <c r="M525" i="1"/>
  <c r="N525" i="1"/>
  <c r="O525" i="1"/>
  <c r="P525" i="1"/>
  <c r="Q525" i="1"/>
  <c r="A526" i="1"/>
  <c r="B526" i="1"/>
  <c r="C526" i="1"/>
  <c r="E526" i="1"/>
  <c r="F526" i="1"/>
  <c r="G526" i="1"/>
  <c r="H526" i="1"/>
  <c r="I526" i="1"/>
  <c r="J526" i="1"/>
  <c r="K526" i="1"/>
  <c r="L526" i="1"/>
  <c r="M526" i="1"/>
  <c r="N526" i="1"/>
  <c r="O526" i="1"/>
  <c r="P526" i="1"/>
  <c r="Q526" i="1"/>
  <c r="A527" i="1"/>
  <c r="B527" i="1"/>
  <c r="C527" i="1"/>
  <c r="D527" i="1"/>
  <c r="E527" i="1"/>
  <c r="F527" i="1"/>
  <c r="G527" i="1"/>
  <c r="H527" i="1"/>
  <c r="I527" i="1"/>
  <c r="J527" i="1"/>
  <c r="K527" i="1"/>
  <c r="L527" i="1"/>
  <c r="M527" i="1"/>
  <c r="N527" i="1"/>
  <c r="O527" i="1"/>
  <c r="P527" i="1"/>
  <c r="Q527" i="1"/>
  <c r="A528" i="1"/>
  <c r="B528" i="1"/>
  <c r="C528" i="1"/>
  <c r="D528" i="1"/>
  <c r="E528" i="1"/>
  <c r="F528" i="1"/>
  <c r="G528" i="1"/>
  <c r="H528" i="1"/>
  <c r="I528" i="1"/>
  <c r="J528" i="1"/>
  <c r="K528" i="1"/>
  <c r="L528" i="1"/>
  <c r="M528" i="1"/>
  <c r="N528" i="1"/>
  <c r="O528" i="1"/>
  <c r="P528" i="1"/>
  <c r="Q528" i="1"/>
  <c r="A529" i="1"/>
  <c r="B529" i="1"/>
  <c r="C529" i="1"/>
  <c r="D529" i="1"/>
  <c r="E529" i="1"/>
  <c r="F529" i="1"/>
  <c r="G529" i="1"/>
  <c r="H529" i="1"/>
  <c r="I529" i="1"/>
  <c r="J529" i="1"/>
  <c r="K529" i="1"/>
  <c r="L529" i="1"/>
  <c r="M529" i="1"/>
  <c r="N529" i="1"/>
  <c r="O529" i="1"/>
  <c r="P529" i="1"/>
  <c r="Q529" i="1"/>
  <c r="A530" i="1"/>
  <c r="B530" i="1"/>
  <c r="C530" i="1"/>
  <c r="D530" i="1"/>
  <c r="E530" i="1"/>
  <c r="F530" i="1"/>
  <c r="G530" i="1"/>
  <c r="H530" i="1"/>
  <c r="I530" i="1"/>
  <c r="J530" i="1"/>
  <c r="K530" i="1"/>
  <c r="L530" i="1"/>
  <c r="M530" i="1"/>
  <c r="N530" i="1"/>
  <c r="O530" i="1"/>
  <c r="P530" i="1"/>
  <c r="Q530" i="1"/>
  <c r="A531" i="1"/>
  <c r="B531" i="1"/>
  <c r="C531" i="1"/>
  <c r="D531" i="1"/>
  <c r="E531" i="1"/>
  <c r="F531" i="1"/>
  <c r="G531" i="1"/>
  <c r="H531" i="1"/>
  <c r="I531" i="1"/>
  <c r="J531" i="1"/>
  <c r="K531" i="1"/>
  <c r="L531" i="1"/>
  <c r="M531" i="1"/>
  <c r="N531" i="1"/>
  <c r="O531" i="1"/>
  <c r="P531" i="1"/>
  <c r="Q531" i="1"/>
  <c r="A532" i="1"/>
  <c r="B532" i="1"/>
  <c r="C532" i="1"/>
  <c r="D532" i="1"/>
  <c r="E532" i="1"/>
  <c r="F532" i="1"/>
  <c r="G532" i="1"/>
  <c r="H532" i="1"/>
  <c r="I532" i="1"/>
  <c r="J532" i="1"/>
  <c r="K532" i="1"/>
  <c r="L532" i="1"/>
  <c r="M532" i="1"/>
  <c r="N532" i="1"/>
  <c r="O532" i="1"/>
  <c r="P532" i="1"/>
  <c r="Q532" i="1"/>
  <c r="A533" i="1"/>
  <c r="B533" i="1"/>
  <c r="C533" i="1"/>
  <c r="D533" i="1"/>
  <c r="E533" i="1"/>
  <c r="F533" i="1"/>
  <c r="G533" i="1"/>
  <c r="H533" i="1"/>
  <c r="I533" i="1"/>
  <c r="J533" i="1"/>
  <c r="K533" i="1"/>
  <c r="L533" i="1"/>
  <c r="M533" i="1"/>
  <c r="N533" i="1"/>
  <c r="O533" i="1"/>
  <c r="P533" i="1"/>
  <c r="Q533" i="1"/>
  <c r="A534" i="1"/>
  <c r="B534" i="1"/>
  <c r="C534" i="1"/>
  <c r="D534" i="1"/>
  <c r="E534" i="1"/>
  <c r="F534" i="1"/>
  <c r="G534" i="1"/>
  <c r="H534" i="1"/>
  <c r="I534" i="1"/>
  <c r="J534" i="1"/>
  <c r="K534" i="1"/>
  <c r="L534" i="1"/>
  <c r="M534" i="1"/>
  <c r="N534" i="1"/>
  <c r="O534" i="1"/>
  <c r="P534" i="1"/>
  <c r="Q534" i="1"/>
  <c r="A535" i="1"/>
  <c r="B535" i="1"/>
  <c r="C535" i="1"/>
  <c r="D535" i="1"/>
  <c r="E535" i="1"/>
  <c r="F535" i="1"/>
  <c r="G535" i="1"/>
  <c r="H535" i="1"/>
  <c r="I535" i="1"/>
  <c r="J535" i="1"/>
  <c r="K535" i="1"/>
  <c r="L535" i="1"/>
  <c r="M535" i="1"/>
  <c r="N535" i="1"/>
  <c r="O535" i="1"/>
  <c r="P535" i="1"/>
  <c r="Q535" i="1"/>
  <c r="A536" i="1"/>
  <c r="B536" i="1"/>
  <c r="C536" i="1"/>
  <c r="D536" i="1"/>
  <c r="E536" i="1"/>
  <c r="F536" i="1"/>
  <c r="G536" i="1"/>
  <c r="H536" i="1"/>
  <c r="I536" i="1"/>
  <c r="J536" i="1"/>
  <c r="K536" i="1"/>
  <c r="L536" i="1"/>
  <c r="M536" i="1"/>
  <c r="N536" i="1"/>
  <c r="O536" i="1"/>
  <c r="P536" i="1"/>
  <c r="Q536" i="1"/>
  <c r="A537" i="1"/>
  <c r="B537" i="1"/>
  <c r="E537" i="1"/>
  <c r="F537" i="1"/>
  <c r="G537" i="1"/>
  <c r="H537" i="1"/>
  <c r="I537" i="1"/>
  <c r="J537" i="1"/>
  <c r="K537" i="1"/>
  <c r="L537" i="1"/>
  <c r="M537" i="1"/>
  <c r="N537" i="1"/>
  <c r="O537" i="1"/>
  <c r="P537" i="1"/>
  <c r="Q537" i="1"/>
  <c r="A538" i="1"/>
  <c r="B538" i="1"/>
  <c r="C538" i="1"/>
  <c r="E538" i="1"/>
  <c r="F538" i="1"/>
  <c r="G538" i="1"/>
  <c r="H538" i="1"/>
  <c r="I538" i="1"/>
  <c r="J538" i="1"/>
  <c r="K538" i="1"/>
  <c r="L538" i="1"/>
  <c r="M538" i="1"/>
  <c r="N538" i="1"/>
  <c r="O538" i="1"/>
  <c r="P538" i="1"/>
  <c r="Q538" i="1"/>
  <c r="A539" i="1"/>
  <c r="B539" i="1"/>
  <c r="C539" i="1"/>
  <c r="E539" i="1"/>
  <c r="F539" i="1"/>
  <c r="G539" i="1"/>
  <c r="H539" i="1"/>
  <c r="I539" i="1"/>
  <c r="J539" i="1"/>
  <c r="K539" i="1"/>
  <c r="L539" i="1"/>
  <c r="M539" i="1"/>
  <c r="N539" i="1"/>
  <c r="O539" i="1"/>
  <c r="P539" i="1"/>
  <c r="Q539" i="1"/>
  <c r="A540" i="1"/>
  <c r="B540" i="1"/>
  <c r="C540" i="1"/>
  <c r="E540" i="1"/>
  <c r="F540" i="1"/>
  <c r="G540" i="1"/>
  <c r="H540" i="1"/>
  <c r="I540" i="1"/>
  <c r="J540" i="1"/>
  <c r="K540" i="1"/>
  <c r="L540" i="1"/>
  <c r="M540" i="1"/>
  <c r="N540" i="1"/>
  <c r="O540" i="1"/>
  <c r="P540" i="1"/>
  <c r="Q540" i="1"/>
  <c r="A541" i="1"/>
  <c r="B541" i="1"/>
  <c r="C541" i="1"/>
  <c r="E541" i="1"/>
  <c r="F541" i="1"/>
  <c r="G541" i="1"/>
  <c r="H541" i="1"/>
  <c r="I541" i="1"/>
  <c r="J541" i="1"/>
  <c r="K541" i="1"/>
  <c r="L541" i="1"/>
  <c r="M541" i="1"/>
  <c r="N541" i="1"/>
  <c r="O541" i="1"/>
  <c r="P541" i="1"/>
  <c r="Q541" i="1"/>
  <c r="A542" i="1"/>
  <c r="B542" i="1"/>
  <c r="C542" i="1"/>
  <c r="E542" i="1"/>
  <c r="F542" i="1"/>
  <c r="G542" i="1"/>
  <c r="H542" i="1"/>
  <c r="I542" i="1"/>
  <c r="J542" i="1"/>
  <c r="K542" i="1"/>
  <c r="L542" i="1"/>
  <c r="M542" i="1"/>
  <c r="N542" i="1"/>
  <c r="O542" i="1"/>
  <c r="P542" i="1"/>
  <c r="Q542" i="1"/>
  <c r="A543" i="1"/>
  <c r="B543" i="1"/>
  <c r="C543" i="1"/>
  <c r="E543" i="1"/>
  <c r="F543" i="1"/>
  <c r="G543" i="1"/>
  <c r="H543" i="1"/>
  <c r="I543" i="1"/>
  <c r="J543" i="1"/>
  <c r="K543" i="1"/>
  <c r="L543" i="1"/>
  <c r="M543" i="1"/>
  <c r="N543" i="1"/>
  <c r="O543" i="1"/>
  <c r="P543" i="1"/>
  <c r="Q543" i="1"/>
  <c r="A544" i="1"/>
  <c r="B544" i="1"/>
  <c r="C544" i="1"/>
  <c r="D544" i="1"/>
  <c r="E544" i="1"/>
  <c r="F544" i="1"/>
  <c r="G544" i="1"/>
  <c r="H544" i="1"/>
  <c r="I544" i="1"/>
  <c r="J544" i="1"/>
  <c r="K544" i="1"/>
  <c r="L544" i="1"/>
  <c r="M544" i="1"/>
  <c r="N544" i="1"/>
  <c r="O544" i="1"/>
  <c r="P544" i="1"/>
  <c r="Q544" i="1"/>
  <c r="A545" i="1"/>
  <c r="B545" i="1"/>
  <c r="C545" i="1"/>
  <c r="D545" i="1"/>
  <c r="E545" i="1"/>
  <c r="F545" i="1"/>
  <c r="G545" i="1"/>
  <c r="H545" i="1"/>
  <c r="I545" i="1"/>
  <c r="J545" i="1"/>
  <c r="K545" i="1"/>
  <c r="L545" i="1"/>
  <c r="M545" i="1"/>
  <c r="N545" i="1"/>
  <c r="O545" i="1"/>
  <c r="P545" i="1"/>
  <c r="Q545" i="1"/>
  <c r="A546" i="1"/>
  <c r="B546" i="1"/>
  <c r="C546" i="1"/>
  <c r="E546" i="1"/>
  <c r="F546" i="1"/>
  <c r="G546" i="1"/>
  <c r="H546" i="1"/>
  <c r="I546" i="1"/>
  <c r="J546" i="1"/>
  <c r="K546" i="1"/>
  <c r="L546" i="1"/>
  <c r="M546" i="1"/>
  <c r="N546" i="1"/>
  <c r="O546" i="1"/>
  <c r="P546" i="1"/>
  <c r="Q546" i="1"/>
  <c r="A547" i="1"/>
  <c r="B547" i="1"/>
  <c r="C547" i="1"/>
  <c r="D547" i="1"/>
  <c r="E547" i="1"/>
  <c r="F547" i="1"/>
  <c r="G547" i="1"/>
  <c r="H547" i="1"/>
  <c r="I547" i="1"/>
  <c r="J547" i="1"/>
  <c r="K547" i="1"/>
  <c r="L547" i="1"/>
  <c r="M547" i="1"/>
  <c r="N547" i="1"/>
  <c r="O547" i="1"/>
  <c r="P547" i="1"/>
  <c r="Q547" i="1"/>
  <c r="A548" i="1"/>
  <c r="B548" i="1"/>
  <c r="C548" i="1"/>
  <c r="E548" i="1"/>
  <c r="F548" i="1"/>
  <c r="G548" i="1"/>
  <c r="H548" i="1"/>
  <c r="I548" i="1"/>
  <c r="J548" i="1"/>
  <c r="K548" i="1"/>
  <c r="L548" i="1"/>
  <c r="M548" i="1"/>
  <c r="N548" i="1"/>
  <c r="O548" i="1"/>
  <c r="P548" i="1"/>
  <c r="Q548" i="1"/>
  <c r="A549" i="1"/>
  <c r="B549" i="1"/>
  <c r="C549" i="1"/>
  <c r="D549" i="1"/>
  <c r="E549" i="1"/>
  <c r="F549" i="1"/>
  <c r="G549" i="1"/>
  <c r="H549" i="1"/>
  <c r="I549" i="1"/>
  <c r="J549" i="1"/>
  <c r="K549" i="1"/>
  <c r="L549" i="1"/>
  <c r="M549" i="1"/>
  <c r="N549" i="1"/>
  <c r="O549" i="1"/>
  <c r="P549" i="1"/>
  <c r="Q549" i="1"/>
  <c r="A550" i="1"/>
  <c r="B550" i="1"/>
  <c r="C550" i="1"/>
  <c r="E550" i="1"/>
  <c r="F550" i="1"/>
  <c r="G550" i="1"/>
  <c r="H550" i="1"/>
  <c r="I550" i="1"/>
  <c r="J550" i="1"/>
  <c r="K550" i="1"/>
  <c r="L550" i="1"/>
  <c r="M550" i="1"/>
  <c r="N550" i="1"/>
  <c r="O550" i="1"/>
  <c r="P550" i="1"/>
  <c r="Q550" i="1"/>
  <c r="A551" i="1"/>
  <c r="B551" i="1"/>
  <c r="C551" i="1"/>
  <c r="E551" i="1"/>
  <c r="F551" i="1"/>
  <c r="G551" i="1"/>
  <c r="H551" i="1"/>
  <c r="I551" i="1"/>
  <c r="J551" i="1"/>
  <c r="K551" i="1"/>
  <c r="L551" i="1"/>
  <c r="M551" i="1"/>
  <c r="N551" i="1"/>
  <c r="O551" i="1"/>
  <c r="P551" i="1"/>
  <c r="Q551" i="1"/>
  <c r="A552" i="1"/>
  <c r="B552" i="1"/>
  <c r="C552" i="1"/>
  <c r="E552" i="1"/>
  <c r="F552" i="1"/>
  <c r="G552" i="1"/>
  <c r="H552" i="1"/>
  <c r="I552" i="1"/>
  <c r="J552" i="1"/>
  <c r="K552" i="1"/>
  <c r="L552" i="1"/>
  <c r="M552" i="1"/>
  <c r="N552" i="1"/>
  <c r="O552" i="1"/>
  <c r="P552" i="1"/>
  <c r="Q552" i="1"/>
  <c r="A553" i="1"/>
  <c r="B553" i="1"/>
  <c r="C553" i="1"/>
  <c r="D553" i="1"/>
  <c r="E553" i="1"/>
  <c r="F553" i="1"/>
  <c r="G553" i="1"/>
  <c r="H553" i="1"/>
  <c r="I553" i="1"/>
  <c r="J553" i="1"/>
  <c r="K553" i="1"/>
  <c r="L553" i="1"/>
  <c r="M553" i="1"/>
  <c r="N553" i="1"/>
  <c r="O553" i="1"/>
  <c r="P553" i="1"/>
  <c r="Q553" i="1"/>
  <c r="A554" i="1"/>
  <c r="B554" i="1"/>
  <c r="E554" i="1"/>
  <c r="F554" i="1"/>
  <c r="G554" i="1"/>
  <c r="H554" i="1"/>
  <c r="I554" i="1"/>
  <c r="J554" i="1"/>
  <c r="K554" i="1"/>
  <c r="L554" i="1"/>
  <c r="M554" i="1"/>
  <c r="N554" i="1"/>
  <c r="O554" i="1"/>
  <c r="P554" i="1"/>
  <c r="Q554" i="1"/>
  <c r="A555" i="1"/>
  <c r="B555" i="1"/>
  <c r="C555" i="1"/>
  <c r="D555" i="1"/>
  <c r="E555" i="1"/>
  <c r="F555" i="1"/>
  <c r="G555" i="1"/>
  <c r="H555" i="1"/>
  <c r="I555" i="1"/>
  <c r="J555" i="1"/>
  <c r="K555" i="1"/>
  <c r="L555" i="1"/>
  <c r="M555" i="1"/>
  <c r="N555" i="1"/>
  <c r="O555" i="1"/>
  <c r="P555" i="1"/>
  <c r="Q555" i="1"/>
  <c r="A556" i="1"/>
  <c r="B556" i="1"/>
  <c r="C556" i="1"/>
  <c r="D556" i="1"/>
  <c r="E556" i="1"/>
  <c r="F556" i="1"/>
  <c r="G556" i="1"/>
  <c r="H556" i="1"/>
  <c r="I556" i="1"/>
  <c r="J556" i="1"/>
  <c r="K556" i="1"/>
  <c r="L556" i="1"/>
  <c r="M556" i="1"/>
  <c r="N556" i="1"/>
  <c r="O556" i="1"/>
  <c r="P556" i="1"/>
  <c r="Q556" i="1"/>
  <c r="A557" i="1"/>
  <c r="B557" i="1"/>
  <c r="C557" i="1"/>
  <c r="D557" i="1"/>
  <c r="E557" i="1"/>
  <c r="F557" i="1"/>
  <c r="G557" i="1"/>
  <c r="H557" i="1"/>
  <c r="I557" i="1"/>
  <c r="J557" i="1"/>
  <c r="K557" i="1"/>
  <c r="L557" i="1"/>
  <c r="M557" i="1"/>
  <c r="N557" i="1"/>
  <c r="O557" i="1"/>
  <c r="P557" i="1"/>
  <c r="Q557" i="1"/>
  <c r="A558" i="1"/>
  <c r="B558" i="1"/>
  <c r="C558" i="1"/>
  <c r="D558" i="1"/>
  <c r="E558" i="1"/>
  <c r="F558" i="1"/>
  <c r="G558" i="1"/>
  <c r="H558" i="1"/>
  <c r="I558" i="1"/>
  <c r="J558" i="1"/>
  <c r="K558" i="1"/>
  <c r="L558" i="1"/>
  <c r="M558" i="1"/>
  <c r="N558" i="1"/>
  <c r="O558" i="1"/>
  <c r="P558" i="1"/>
  <c r="Q558" i="1"/>
  <c r="A559" i="1"/>
  <c r="B559" i="1"/>
  <c r="C559" i="1"/>
  <c r="D559" i="1"/>
  <c r="E559" i="1"/>
  <c r="F559" i="1"/>
  <c r="G559" i="1"/>
  <c r="H559" i="1"/>
  <c r="I559" i="1"/>
  <c r="J559" i="1"/>
  <c r="K559" i="1"/>
  <c r="L559" i="1"/>
  <c r="M559" i="1"/>
  <c r="N559" i="1"/>
  <c r="O559" i="1"/>
  <c r="P559" i="1"/>
  <c r="Q559" i="1"/>
  <c r="A560" i="1"/>
  <c r="B560" i="1"/>
  <c r="E560" i="1"/>
  <c r="F560" i="1"/>
  <c r="G560" i="1"/>
  <c r="H560" i="1"/>
  <c r="I560" i="1"/>
  <c r="J560" i="1"/>
  <c r="K560" i="1"/>
  <c r="L560" i="1"/>
  <c r="M560" i="1"/>
  <c r="N560" i="1"/>
  <c r="O560" i="1"/>
  <c r="P560" i="1"/>
  <c r="Q560" i="1"/>
  <c r="A561" i="1"/>
  <c r="B561" i="1"/>
  <c r="C561" i="1"/>
  <c r="D561" i="1"/>
  <c r="E561" i="1"/>
  <c r="F561" i="1"/>
  <c r="G561" i="1"/>
  <c r="H561" i="1"/>
  <c r="I561" i="1"/>
  <c r="J561" i="1"/>
  <c r="K561" i="1"/>
  <c r="L561" i="1"/>
  <c r="M561" i="1"/>
  <c r="N561" i="1"/>
  <c r="O561" i="1"/>
  <c r="P561" i="1"/>
  <c r="Q561" i="1"/>
  <c r="A562" i="1"/>
  <c r="B562" i="1"/>
  <c r="C562" i="1"/>
  <c r="D562" i="1"/>
  <c r="E562" i="1"/>
  <c r="F562" i="1"/>
  <c r="G562" i="1"/>
  <c r="H562" i="1"/>
  <c r="I562" i="1"/>
  <c r="J562" i="1"/>
  <c r="K562" i="1"/>
  <c r="L562" i="1"/>
  <c r="M562" i="1"/>
  <c r="N562" i="1"/>
  <c r="O562" i="1"/>
  <c r="P562" i="1"/>
  <c r="Q562" i="1"/>
  <c r="A563" i="1"/>
  <c r="B563" i="1"/>
  <c r="C563" i="1"/>
  <c r="D563" i="1"/>
  <c r="E563" i="1"/>
  <c r="F563" i="1"/>
  <c r="G563" i="1"/>
  <c r="H563" i="1"/>
  <c r="I563" i="1"/>
  <c r="J563" i="1"/>
  <c r="K563" i="1"/>
  <c r="L563" i="1"/>
  <c r="M563" i="1"/>
  <c r="N563" i="1"/>
  <c r="O563" i="1"/>
  <c r="P563" i="1"/>
  <c r="Q563" i="1"/>
  <c r="A564" i="1"/>
  <c r="B564" i="1"/>
  <c r="C564" i="1"/>
  <c r="D564" i="1"/>
  <c r="E564" i="1"/>
  <c r="F564" i="1"/>
  <c r="G564" i="1"/>
  <c r="H564" i="1"/>
  <c r="I564" i="1"/>
  <c r="J564" i="1"/>
  <c r="K564" i="1"/>
  <c r="L564" i="1"/>
  <c r="M564" i="1"/>
  <c r="N564" i="1"/>
  <c r="O564" i="1"/>
  <c r="P564" i="1"/>
  <c r="Q564" i="1"/>
  <c r="A565" i="1"/>
  <c r="B565" i="1"/>
  <c r="C565" i="1"/>
  <c r="D565" i="1"/>
  <c r="E565" i="1"/>
  <c r="F565" i="1"/>
  <c r="G565" i="1"/>
  <c r="H565" i="1"/>
  <c r="I565" i="1"/>
  <c r="J565" i="1"/>
  <c r="K565" i="1"/>
  <c r="L565" i="1"/>
  <c r="M565" i="1"/>
  <c r="N565" i="1"/>
  <c r="O565" i="1"/>
  <c r="P565" i="1"/>
  <c r="Q565" i="1"/>
  <c r="A566" i="1"/>
  <c r="B566" i="1"/>
  <c r="C566" i="1"/>
  <c r="E566" i="1"/>
  <c r="F566" i="1"/>
  <c r="G566" i="1"/>
  <c r="H566" i="1"/>
  <c r="I566" i="1"/>
  <c r="J566" i="1"/>
  <c r="K566" i="1"/>
  <c r="L566" i="1"/>
  <c r="M566" i="1"/>
  <c r="N566" i="1"/>
  <c r="O566" i="1"/>
  <c r="P566" i="1"/>
  <c r="Q566" i="1"/>
  <c r="A567" i="1"/>
  <c r="B567" i="1"/>
  <c r="C567" i="1"/>
  <c r="E567" i="1"/>
  <c r="F567" i="1"/>
  <c r="G567" i="1"/>
  <c r="H567" i="1"/>
  <c r="I567" i="1"/>
  <c r="J567" i="1"/>
  <c r="K567" i="1"/>
  <c r="L567" i="1"/>
  <c r="M567" i="1"/>
  <c r="N567" i="1"/>
  <c r="O567" i="1"/>
  <c r="P567" i="1"/>
  <c r="Q567" i="1"/>
  <c r="A568" i="1"/>
  <c r="B568" i="1"/>
  <c r="C568" i="1"/>
  <c r="D568" i="1"/>
  <c r="E568" i="1"/>
  <c r="F568" i="1"/>
  <c r="G568" i="1"/>
  <c r="H568" i="1"/>
  <c r="I568" i="1"/>
  <c r="J568" i="1"/>
  <c r="K568" i="1"/>
  <c r="L568" i="1"/>
  <c r="M568" i="1"/>
  <c r="N568" i="1"/>
  <c r="O568" i="1"/>
  <c r="P568" i="1"/>
  <c r="Q568" i="1"/>
  <c r="A569" i="1"/>
  <c r="B569" i="1"/>
  <c r="C569" i="1"/>
  <c r="E569" i="1"/>
  <c r="F569" i="1"/>
  <c r="G569" i="1"/>
  <c r="H569" i="1"/>
  <c r="I569" i="1"/>
  <c r="J569" i="1"/>
  <c r="K569" i="1"/>
  <c r="L569" i="1"/>
  <c r="M569" i="1"/>
  <c r="N569" i="1"/>
  <c r="O569" i="1"/>
  <c r="P569" i="1"/>
  <c r="Q569" i="1"/>
  <c r="A570" i="1"/>
  <c r="B570" i="1"/>
  <c r="C570" i="1"/>
  <c r="D570" i="1"/>
  <c r="E570" i="1"/>
  <c r="F570" i="1"/>
  <c r="G570" i="1"/>
  <c r="H570" i="1"/>
  <c r="I570" i="1"/>
  <c r="J570" i="1"/>
  <c r="K570" i="1"/>
  <c r="L570" i="1"/>
  <c r="M570" i="1"/>
  <c r="N570" i="1"/>
  <c r="O570" i="1"/>
  <c r="P570" i="1"/>
  <c r="Q570" i="1"/>
  <c r="A571" i="1"/>
  <c r="B571" i="1"/>
  <c r="C571" i="1"/>
  <c r="D571" i="1"/>
  <c r="E571" i="1"/>
  <c r="F571" i="1"/>
  <c r="G571" i="1"/>
  <c r="H571" i="1"/>
  <c r="I571" i="1"/>
  <c r="J571" i="1"/>
  <c r="K571" i="1"/>
  <c r="L571" i="1"/>
  <c r="M571" i="1"/>
  <c r="N571" i="1"/>
  <c r="O571" i="1"/>
  <c r="P571" i="1"/>
  <c r="Q571" i="1"/>
  <c r="A572" i="1"/>
  <c r="B572" i="1"/>
  <c r="C572" i="1"/>
  <c r="D572" i="1"/>
  <c r="E572" i="1"/>
  <c r="F572" i="1"/>
  <c r="G572" i="1"/>
  <c r="H572" i="1"/>
  <c r="I572" i="1"/>
  <c r="J572" i="1"/>
  <c r="K572" i="1"/>
  <c r="L572" i="1"/>
  <c r="M572" i="1"/>
  <c r="N572" i="1"/>
  <c r="O572" i="1"/>
  <c r="P572" i="1"/>
  <c r="Q572" i="1"/>
  <c r="A573" i="1"/>
  <c r="B573" i="1"/>
  <c r="C573" i="1"/>
  <c r="E573" i="1"/>
  <c r="F573" i="1"/>
  <c r="G573" i="1"/>
  <c r="H573" i="1"/>
  <c r="I573" i="1"/>
  <c r="J573" i="1"/>
  <c r="K573" i="1"/>
  <c r="L573" i="1"/>
  <c r="M573" i="1"/>
  <c r="N573" i="1"/>
  <c r="O573" i="1"/>
  <c r="P573" i="1"/>
  <c r="Q573" i="1"/>
  <c r="A574" i="1"/>
  <c r="B574" i="1"/>
  <c r="C574" i="1"/>
  <c r="D574" i="1"/>
  <c r="E574" i="1"/>
  <c r="F574" i="1"/>
  <c r="G574" i="1"/>
  <c r="H574" i="1"/>
  <c r="I574" i="1"/>
  <c r="J574" i="1"/>
  <c r="K574" i="1"/>
  <c r="L574" i="1"/>
  <c r="M574" i="1"/>
  <c r="N574" i="1"/>
  <c r="O574" i="1"/>
  <c r="P574" i="1"/>
  <c r="Q574" i="1"/>
  <c r="A575" i="1"/>
  <c r="B575" i="1"/>
  <c r="C575" i="1"/>
  <c r="E575" i="1"/>
  <c r="F575" i="1"/>
  <c r="G575" i="1"/>
  <c r="H575" i="1"/>
  <c r="I575" i="1"/>
  <c r="J575" i="1"/>
  <c r="K575" i="1"/>
  <c r="L575" i="1"/>
  <c r="M575" i="1"/>
  <c r="N575" i="1"/>
  <c r="O575" i="1"/>
  <c r="P575" i="1"/>
  <c r="Q575" i="1"/>
  <c r="A576" i="1"/>
  <c r="B576" i="1"/>
  <c r="C576" i="1"/>
  <c r="E576" i="1"/>
  <c r="F576" i="1"/>
  <c r="G576" i="1"/>
  <c r="H576" i="1"/>
  <c r="I576" i="1"/>
  <c r="J576" i="1"/>
  <c r="K576" i="1"/>
  <c r="L576" i="1"/>
  <c r="M576" i="1"/>
  <c r="N576" i="1"/>
  <c r="O576" i="1"/>
  <c r="P576" i="1"/>
  <c r="Q576" i="1"/>
  <c r="A577" i="1"/>
  <c r="B577" i="1"/>
  <c r="C577" i="1"/>
  <c r="E577" i="1"/>
  <c r="F577" i="1"/>
  <c r="G577" i="1"/>
  <c r="H577" i="1"/>
  <c r="I577" i="1"/>
  <c r="J577" i="1"/>
  <c r="K577" i="1"/>
  <c r="L577" i="1"/>
  <c r="M577" i="1"/>
  <c r="N577" i="1"/>
  <c r="O577" i="1"/>
  <c r="P577" i="1"/>
  <c r="Q577" i="1"/>
  <c r="A578" i="1"/>
  <c r="B578" i="1"/>
  <c r="C578" i="1"/>
  <c r="E578" i="1"/>
  <c r="F578" i="1"/>
  <c r="G578" i="1"/>
  <c r="H578" i="1"/>
  <c r="I578" i="1"/>
  <c r="J578" i="1"/>
  <c r="K578" i="1"/>
  <c r="L578" i="1"/>
  <c r="M578" i="1"/>
  <c r="N578" i="1"/>
  <c r="O578" i="1"/>
  <c r="P578" i="1"/>
  <c r="Q578" i="1"/>
  <c r="A579" i="1"/>
  <c r="B579" i="1"/>
  <c r="C579" i="1"/>
  <c r="D579" i="1"/>
  <c r="E579" i="1"/>
  <c r="F579" i="1"/>
  <c r="G579" i="1"/>
  <c r="H579" i="1"/>
  <c r="I579" i="1"/>
  <c r="J579" i="1"/>
  <c r="K579" i="1"/>
  <c r="L579" i="1"/>
  <c r="M579" i="1"/>
  <c r="N579" i="1"/>
  <c r="O579" i="1"/>
  <c r="P579" i="1"/>
  <c r="Q579" i="1"/>
  <c r="A580" i="1"/>
  <c r="B580" i="1"/>
  <c r="C580" i="1"/>
  <c r="D580" i="1"/>
  <c r="E580" i="1"/>
  <c r="F580" i="1"/>
  <c r="G580" i="1"/>
  <c r="H580" i="1"/>
  <c r="I580" i="1"/>
  <c r="J580" i="1"/>
  <c r="K580" i="1"/>
  <c r="L580" i="1"/>
  <c r="M580" i="1"/>
  <c r="N580" i="1"/>
  <c r="O580" i="1"/>
  <c r="P580" i="1"/>
  <c r="Q580" i="1"/>
  <c r="A581" i="1"/>
  <c r="B581" i="1"/>
  <c r="C581" i="1"/>
  <c r="E581" i="1"/>
  <c r="F581" i="1"/>
  <c r="G581" i="1"/>
  <c r="H581" i="1"/>
  <c r="I581" i="1"/>
  <c r="J581" i="1"/>
  <c r="K581" i="1"/>
  <c r="L581" i="1"/>
  <c r="M581" i="1"/>
  <c r="N581" i="1"/>
  <c r="O581" i="1"/>
  <c r="P581" i="1"/>
  <c r="Q581" i="1"/>
  <c r="A582" i="1"/>
  <c r="B582" i="1"/>
  <c r="C582" i="1"/>
  <c r="D582" i="1"/>
  <c r="E582" i="1"/>
  <c r="F582" i="1"/>
  <c r="G582" i="1"/>
  <c r="H582" i="1"/>
  <c r="I582" i="1"/>
  <c r="J582" i="1"/>
  <c r="K582" i="1"/>
  <c r="L582" i="1"/>
  <c r="M582" i="1"/>
  <c r="N582" i="1"/>
  <c r="O582" i="1"/>
  <c r="P582" i="1"/>
  <c r="Q582" i="1"/>
  <c r="A583" i="1"/>
  <c r="B583" i="1"/>
  <c r="C583" i="1"/>
  <c r="D583" i="1"/>
  <c r="E583" i="1"/>
  <c r="F583" i="1"/>
  <c r="G583" i="1"/>
  <c r="H583" i="1"/>
  <c r="I583" i="1"/>
  <c r="J583" i="1"/>
  <c r="K583" i="1"/>
  <c r="L583" i="1"/>
  <c r="M583" i="1"/>
  <c r="N583" i="1"/>
  <c r="O583" i="1"/>
  <c r="P583" i="1"/>
  <c r="Q583" i="1"/>
  <c r="A584" i="1"/>
  <c r="B584" i="1"/>
  <c r="C584" i="1"/>
  <c r="E584" i="1"/>
  <c r="F584" i="1"/>
  <c r="G584" i="1"/>
  <c r="H584" i="1"/>
  <c r="I584" i="1"/>
  <c r="J584" i="1"/>
  <c r="K584" i="1"/>
  <c r="L584" i="1"/>
  <c r="M584" i="1"/>
  <c r="N584" i="1"/>
  <c r="O584" i="1"/>
  <c r="P584" i="1"/>
  <c r="Q584" i="1"/>
  <c r="A585" i="1"/>
  <c r="B585" i="1"/>
  <c r="C585" i="1"/>
  <c r="E585" i="1"/>
  <c r="F585" i="1"/>
  <c r="G585" i="1"/>
  <c r="H585" i="1"/>
  <c r="I585" i="1"/>
  <c r="J585" i="1"/>
  <c r="K585" i="1"/>
  <c r="L585" i="1"/>
  <c r="M585" i="1"/>
  <c r="N585" i="1"/>
  <c r="O585" i="1"/>
  <c r="P585" i="1"/>
  <c r="Q585" i="1"/>
  <c r="A586" i="1"/>
  <c r="B586" i="1"/>
  <c r="C586" i="1"/>
  <c r="D586" i="1"/>
  <c r="E586" i="1"/>
  <c r="F586" i="1"/>
  <c r="G586" i="1"/>
  <c r="H586" i="1"/>
  <c r="I586" i="1"/>
  <c r="J586" i="1"/>
  <c r="K586" i="1"/>
  <c r="L586" i="1"/>
  <c r="M586" i="1"/>
  <c r="N586" i="1"/>
  <c r="O586" i="1"/>
  <c r="P586" i="1"/>
  <c r="Q586" i="1"/>
  <c r="A587" i="1"/>
  <c r="B587" i="1"/>
  <c r="C587" i="1"/>
  <c r="D587" i="1"/>
  <c r="E587" i="1"/>
  <c r="F587" i="1"/>
  <c r="G587" i="1"/>
  <c r="H587" i="1"/>
  <c r="I587" i="1"/>
  <c r="J587" i="1"/>
  <c r="K587" i="1"/>
  <c r="L587" i="1"/>
  <c r="M587" i="1"/>
  <c r="N587" i="1"/>
  <c r="O587" i="1"/>
  <c r="P587" i="1"/>
  <c r="Q587" i="1"/>
  <c r="A588" i="1"/>
  <c r="B588" i="1"/>
  <c r="C588" i="1"/>
  <c r="E588" i="1"/>
  <c r="F588" i="1"/>
  <c r="G588" i="1"/>
  <c r="H588" i="1"/>
  <c r="I588" i="1"/>
  <c r="J588" i="1"/>
  <c r="K588" i="1"/>
  <c r="L588" i="1"/>
  <c r="M588" i="1"/>
  <c r="N588" i="1"/>
  <c r="O588" i="1"/>
  <c r="P588" i="1"/>
  <c r="Q588" i="1"/>
  <c r="A589" i="1"/>
  <c r="B589" i="1"/>
  <c r="C589" i="1"/>
  <c r="E589" i="1"/>
  <c r="F589" i="1"/>
  <c r="G589" i="1"/>
  <c r="H589" i="1"/>
  <c r="I589" i="1"/>
  <c r="J589" i="1"/>
  <c r="K589" i="1"/>
  <c r="L589" i="1"/>
  <c r="M589" i="1"/>
  <c r="N589" i="1"/>
  <c r="O589" i="1"/>
  <c r="P589" i="1"/>
  <c r="Q589" i="1"/>
  <c r="A590" i="1"/>
  <c r="B590" i="1"/>
  <c r="C590" i="1"/>
  <c r="E590" i="1"/>
  <c r="F590" i="1"/>
  <c r="G590" i="1"/>
  <c r="H590" i="1"/>
  <c r="I590" i="1"/>
  <c r="J590" i="1"/>
  <c r="K590" i="1"/>
  <c r="L590" i="1"/>
  <c r="M590" i="1"/>
  <c r="N590" i="1"/>
  <c r="O590" i="1"/>
  <c r="P590" i="1"/>
  <c r="Q590" i="1"/>
  <c r="A591" i="1"/>
  <c r="B591" i="1"/>
  <c r="C591" i="1"/>
  <c r="D591" i="1"/>
  <c r="E591" i="1"/>
  <c r="F591" i="1"/>
  <c r="G591" i="1"/>
  <c r="H591" i="1"/>
  <c r="I591" i="1"/>
  <c r="J591" i="1"/>
  <c r="K591" i="1"/>
  <c r="L591" i="1"/>
  <c r="M591" i="1"/>
  <c r="N591" i="1"/>
  <c r="O591" i="1"/>
  <c r="P591" i="1"/>
  <c r="Q591" i="1"/>
  <c r="A592" i="1"/>
  <c r="B592" i="1"/>
  <c r="C592" i="1"/>
  <c r="D592" i="1"/>
  <c r="E592" i="1"/>
  <c r="F592" i="1"/>
  <c r="G592" i="1"/>
  <c r="H592" i="1"/>
  <c r="I592" i="1"/>
  <c r="J592" i="1"/>
  <c r="K592" i="1"/>
  <c r="L592" i="1"/>
  <c r="M592" i="1"/>
  <c r="N592" i="1"/>
  <c r="O592" i="1"/>
  <c r="P592" i="1"/>
  <c r="Q592" i="1"/>
  <c r="A593" i="1"/>
  <c r="B593" i="1"/>
  <c r="C593" i="1"/>
  <c r="E593" i="1"/>
  <c r="F593" i="1"/>
  <c r="G593" i="1"/>
  <c r="H593" i="1"/>
  <c r="I593" i="1"/>
  <c r="J593" i="1"/>
  <c r="K593" i="1"/>
  <c r="L593" i="1"/>
  <c r="M593" i="1"/>
  <c r="N593" i="1"/>
  <c r="O593" i="1"/>
  <c r="P593" i="1"/>
  <c r="Q593" i="1"/>
  <c r="A594" i="1"/>
  <c r="B594" i="1"/>
  <c r="C594" i="1"/>
  <c r="E594" i="1"/>
  <c r="F594" i="1"/>
  <c r="G594" i="1"/>
  <c r="H594" i="1"/>
  <c r="I594" i="1"/>
  <c r="J594" i="1"/>
  <c r="K594" i="1"/>
  <c r="L594" i="1"/>
  <c r="M594" i="1"/>
  <c r="N594" i="1"/>
  <c r="O594" i="1"/>
  <c r="P594" i="1"/>
  <c r="Q594" i="1"/>
  <c r="A595" i="1"/>
  <c r="B595" i="1"/>
  <c r="C595" i="1"/>
  <c r="E595" i="1"/>
  <c r="F595" i="1"/>
  <c r="G595" i="1"/>
  <c r="H595" i="1"/>
  <c r="I595" i="1"/>
  <c r="J595" i="1"/>
  <c r="K595" i="1"/>
  <c r="L595" i="1"/>
  <c r="M595" i="1"/>
  <c r="N595" i="1"/>
  <c r="O595" i="1"/>
  <c r="P595" i="1"/>
  <c r="Q595" i="1"/>
  <c r="A596" i="1"/>
  <c r="B596" i="1"/>
  <c r="C596" i="1"/>
  <c r="E596" i="1"/>
  <c r="F596" i="1"/>
  <c r="G596" i="1"/>
  <c r="H596" i="1"/>
  <c r="I596" i="1"/>
  <c r="J596" i="1"/>
  <c r="K596" i="1"/>
  <c r="L596" i="1"/>
  <c r="M596" i="1"/>
  <c r="N596" i="1"/>
  <c r="O596" i="1"/>
  <c r="P596" i="1"/>
  <c r="Q596" i="1"/>
  <c r="A597" i="1"/>
  <c r="B597" i="1"/>
  <c r="C597" i="1"/>
  <c r="E597" i="1"/>
  <c r="F597" i="1"/>
  <c r="G597" i="1"/>
  <c r="H597" i="1"/>
  <c r="I597" i="1"/>
  <c r="J597" i="1"/>
  <c r="K597" i="1"/>
  <c r="L597" i="1"/>
  <c r="M597" i="1"/>
  <c r="N597" i="1"/>
  <c r="O597" i="1"/>
  <c r="P597" i="1"/>
  <c r="Q597" i="1"/>
  <c r="A598" i="1"/>
  <c r="B598" i="1"/>
  <c r="C598" i="1"/>
  <c r="D598" i="1"/>
  <c r="E598" i="1"/>
  <c r="F598" i="1"/>
  <c r="G598" i="1"/>
  <c r="H598" i="1"/>
  <c r="I598" i="1"/>
  <c r="J598" i="1"/>
  <c r="K598" i="1"/>
  <c r="L598" i="1"/>
  <c r="M598" i="1"/>
  <c r="N598" i="1"/>
  <c r="O598" i="1"/>
  <c r="P598" i="1"/>
  <c r="Q598" i="1"/>
  <c r="A599" i="1"/>
  <c r="B599" i="1"/>
  <c r="C599" i="1"/>
  <c r="D599" i="1"/>
  <c r="E599" i="1"/>
  <c r="F599" i="1"/>
  <c r="G599" i="1"/>
  <c r="H599" i="1"/>
  <c r="I599" i="1"/>
  <c r="J599" i="1"/>
  <c r="K599" i="1"/>
  <c r="L599" i="1"/>
  <c r="M599" i="1"/>
  <c r="N599" i="1"/>
  <c r="O599" i="1"/>
  <c r="P599" i="1"/>
  <c r="Q599" i="1"/>
  <c r="A600" i="1"/>
  <c r="B600" i="1"/>
  <c r="C600" i="1"/>
  <c r="D600" i="1"/>
  <c r="E600" i="1"/>
  <c r="F600" i="1"/>
  <c r="G600" i="1"/>
  <c r="H600" i="1"/>
  <c r="I600" i="1"/>
  <c r="J600" i="1"/>
  <c r="K600" i="1"/>
  <c r="L600" i="1"/>
  <c r="M600" i="1"/>
  <c r="N600" i="1"/>
  <c r="O600" i="1"/>
  <c r="P600" i="1"/>
  <c r="Q600" i="1"/>
  <c r="A601" i="1"/>
  <c r="B601" i="1"/>
  <c r="C601" i="1"/>
  <c r="E601" i="1"/>
  <c r="F601" i="1"/>
  <c r="G601" i="1"/>
  <c r="H601" i="1"/>
  <c r="I601" i="1"/>
  <c r="J601" i="1"/>
  <c r="K601" i="1"/>
  <c r="L601" i="1"/>
  <c r="M601" i="1"/>
  <c r="N601" i="1"/>
  <c r="O601" i="1"/>
  <c r="P601" i="1"/>
  <c r="Q601" i="1"/>
  <c r="A602" i="1"/>
  <c r="B602" i="1"/>
  <c r="C602" i="1"/>
  <c r="E602" i="1"/>
  <c r="F602" i="1"/>
  <c r="G602" i="1"/>
  <c r="H602" i="1"/>
  <c r="I602" i="1"/>
  <c r="J602" i="1"/>
  <c r="K602" i="1"/>
  <c r="L602" i="1"/>
  <c r="M602" i="1"/>
  <c r="N602" i="1"/>
  <c r="O602" i="1"/>
  <c r="P602" i="1"/>
  <c r="Q602" i="1"/>
  <c r="A603" i="1"/>
  <c r="B603" i="1"/>
  <c r="C603" i="1"/>
  <c r="E603" i="1"/>
  <c r="F603" i="1"/>
  <c r="G603" i="1"/>
  <c r="H603" i="1"/>
  <c r="I603" i="1"/>
  <c r="J603" i="1"/>
  <c r="K603" i="1"/>
  <c r="L603" i="1"/>
  <c r="M603" i="1"/>
  <c r="N603" i="1"/>
  <c r="O603" i="1"/>
  <c r="P603" i="1"/>
  <c r="Q603" i="1"/>
  <c r="A604" i="1"/>
  <c r="B604" i="1"/>
  <c r="C604" i="1"/>
  <c r="E604" i="1"/>
  <c r="F604" i="1"/>
  <c r="G604" i="1"/>
  <c r="H604" i="1"/>
  <c r="I604" i="1"/>
  <c r="J604" i="1"/>
  <c r="K604" i="1"/>
  <c r="L604" i="1"/>
  <c r="M604" i="1"/>
  <c r="N604" i="1"/>
  <c r="O604" i="1"/>
  <c r="P604" i="1"/>
  <c r="Q604" i="1"/>
  <c r="A605" i="1"/>
  <c r="B605" i="1"/>
  <c r="C605" i="1"/>
  <c r="E605" i="1"/>
  <c r="F605" i="1"/>
  <c r="G605" i="1"/>
  <c r="H605" i="1"/>
  <c r="I605" i="1"/>
  <c r="J605" i="1"/>
  <c r="K605" i="1"/>
  <c r="L605" i="1"/>
  <c r="M605" i="1"/>
  <c r="N605" i="1"/>
  <c r="O605" i="1"/>
  <c r="P605" i="1"/>
  <c r="Q605" i="1"/>
  <c r="A606" i="1"/>
  <c r="B606" i="1"/>
  <c r="C606" i="1"/>
  <c r="E606" i="1"/>
  <c r="F606" i="1"/>
  <c r="G606" i="1"/>
  <c r="H606" i="1"/>
  <c r="I606" i="1"/>
  <c r="J606" i="1"/>
  <c r="K606" i="1"/>
  <c r="L606" i="1"/>
  <c r="M606" i="1"/>
  <c r="N606" i="1"/>
  <c r="O606" i="1"/>
  <c r="P606" i="1"/>
  <c r="Q606" i="1"/>
  <c r="A607" i="1"/>
  <c r="B607" i="1"/>
  <c r="C607" i="1"/>
  <c r="E607" i="1"/>
  <c r="F607" i="1"/>
  <c r="G607" i="1"/>
  <c r="H607" i="1"/>
  <c r="I607" i="1"/>
  <c r="J607" i="1"/>
  <c r="K607" i="1"/>
  <c r="L607" i="1"/>
  <c r="M607" i="1"/>
  <c r="N607" i="1"/>
  <c r="O607" i="1"/>
  <c r="P607" i="1"/>
  <c r="Q607" i="1"/>
  <c r="A608" i="1"/>
  <c r="B608" i="1"/>
  <c r="C608" i="1"/>
  <c r="D608" i="1"/>
  <c r="E608" i="1"/>
  <c r="F608" i="1"/>
  <c r="G608" i="1"/>
  <c r="H608" i="1"/>
  <c r="I608" i="1"/>
  <c r="J608" i="1"/>
  <c r="K608" i="1"/>
  <c r="L608" i="1"/>
  <c r="M608" i="1"/>
  <c r="N608" i="1"/>
  <c r="O608" i="1"/>
  <c r="P608" i="1"/>
  <c r="Q608" i="1"/>
  <c r="A609" i="1"/>
  <c r="B609" i="1"/>
  <c r="C609" i="1"/>
  <c r="D609" i="1"/>
  <c r="E609" i="1"/>
  <c r="F609" i="1"/>
  <c r="G609" i="1"/>
  <c r="H609" i="1"/>
  <c r="I609" i="1"/>
  <c r="J609" i="1"/>
  <c r="K609" i="1"/>
  <c r="L609" i="1"/>
  <c r="M609" i="1"/>
  <c r="N609" i="1"/>
  <c r="O609" i="1"/>
  <c r="P609" i="1"/>
  <c r="Q609" i="1"/>
  <c r="A610" i="1"/>
  <c r="B610" i="1"/>
  <c r="C610" i="1"/>
  <c r="D610" i="1"/>
  <c r="E610" i="1"/>
  <c r="F610" i="1"/>
  <c r="G610" i="1"/>
  <c r="H610" i="1"/>
  <c r="I610" i="1"/>
  <c r="J610" i="1"/>
  <c r="K610" i="1"/>
  <c r="L610" i="1"/>
  <c r="M610" i="1"/>
  <c r="N610" i="1"/>
  <c r="O610" i="1"/>
  <c r="P610" i="1"/>
  <c r="Q610" i="1"/>
  <c r="A611" i="1"/>
  <c r="B611" i="1"/>
  <c r="C611" i="1"/>
  <c r="D611" i="1"/>
  <c r="E611" i="1"/>
  <c r="F611" i="1"/>
  <c r="G611" i="1"/>
  <c r="H611" i="1"/>
  <c r="I611" i="1"/>
  <c r="J611" i="1"/>
  <c r="K611" i="1"/>
  <c r="L611" i="1"/>
  <c r="M611" i="1"/>
  <c r="N611" i="1"/>
  <c r="O611" i="1"/>
  <c r="P611" i="1"/>
  <c r="Q611" i="1"/>
  <c r="A612" i="1"/>
  <c r="B612" i="1"/>
  <c r="C612" i="1"/>
  <c r="D612" i="1"/>
  <c r="E612" i="1"/>
  <c r="F612" i="1"/>
  <c r="G612" i="1"/>
  <c r="H612" i="1"/>
  <c r="I612" i="1"/>
  <c r="J612" i="1"/>
  <c r="K612" i="1"/>
  <c r="L612" i="1"/>
  <c r="M612" i="1"/>
  <c r="N612" i="1"/>
  <c r="O612" i="1"/>
  <c r="P612" i="1"/>
  <c r="Q612" i="1"/>
  <c r="A613" i="1"/>
  <c r="B613" i="1"/>
  <c r="C613" i="1"/>
  <c r="D613" i="1"/>
  <c r="E613" i="1"/>
  <c r="F613" i="1"/>
  <c r="G613" i="1"/>
  <c r="H613" i="1"/>
  <c r="I613" i="1"/>
  <c r="J613" i="1"/>
  <c r="K613" i="1"/>
  <c r="L613" i="1"/>
  <c r="M613" i="1"/>
  <c r="N613" i="1"/>
  <c r="O613" i="1"/>
  <c r="P613" i="1"/>
  <c r="Q613" i="1"/>
  <c r="A614" i="1"/>
  <c r="B614" i="1"/>
  <c r="C614" i="1"/>
  <c r="D614" i="1"/>
  <c r="E614" i="1"/>
  <c r="F614" i="1"/>
  <c r="G614" i="1"/>
  <c r="H614" i="1"/>
  <c r="I614" i="1"/>
  <c r="J614" i="1"/>
  <c r="K614" i="1"/>
  <c r="L614" i="1"/>
  <c r="M614" i="1"/>
  <c r="N614" i="1"/>
  <c r="O614" i="1"/>
  <c r="P614" i="1"/>
  <c r="Q614" i="1"/>
  <c r="A615" i="1"/>
  <c r="B615" i="1"/>
  <c r="C615" i="1"/>
  <c r="D615" i="1"/>
  <c r="E615" i="1"/>
  <c r="F615" i="1"/>
  <c r="G615" i="1"/>
  <c r="H615" i="1"/>
  <c r="I615" i="1"/>
  <c r="J615" i="1"/>
  <c r="K615" i="1"/>
  <c r="L615" i="1"/>
  <c r="M615" i="1"/>
  <c r="N615" i="1"/>
  <c r="O615" i="1"/>
  <c r="P615" i="1"/>
  <c r="Q615" i="1"/>
  <c r="A616" i="1"/>
  <c r="B616" i="1"/>
  <c r="C616" i="1"/>
  <c r="D616" i="1"/>
  <c r="E616" i="1"/>
  <c r="F616" i="1"/>
  <c r="G616" i="1"/>
  <c r="H616" i="1"/>
  <c r="I616" i="1"/>
  <c r="J616" i="1"/>
  <c r="K616" i="1"/>
  <c r="L616" i="1"/>
  <c r="M616" i="1"/>
  <c r="N616" i="1"/>
  <c r="O616" i="1"/>
  <c r="P616" i="1"/>
  <c r="Q616" i="1"/>
  <c r="A617" i="1"/>
  <c r="B617" i="1"/>
  <c r="C617" i="1"/>
  <c r="D617" i="1"/>
  <c r="E617" i="1"/>
  <c r="F617" i="1"/>
  <c r="G617" i="1"/>
  <c r="H617" i="1"/>
  <c r="I617" i="1"/>
  <c r="J617" i="1"/>
  <c r="K617" i="1"/>
  <c r="L617" i="1"/>
  <c r="M617" i="1"/>
  <c r="N617" i="1"/>
  <c r="O617" i="1"/>
  <c r="P617" i="1"/>
  <c r="Q617" i="1"/>
  <c r="A618" i="1"/>
  <c r="B618" i="1"/>
  <c r="C618" i="1"/>
  <c r="D618" i="1"/>
  <c r="E618" i="1"/>
  <c r="F618" i="1"/>
  <c r="G618" i="1"/>
  <c r="H618" i="1"/>
  <c r="I618" i="1"/>
  <c r="J618" i="1"/>
  <c r="K618" i="1"/>
  <c r="L618" i="1"/>
  <c r="M618" i="1"/>
  <c r="N618" i="1"/>
  <c r="O618" i="1"/>
  <c r="P618" i="1"/>
  <c r="Q618" i="1"/>
  <c r="A619" i="1"/>
  <c r="B619" i="1"/>
  <c r="C619" i="1"/>
  <c r="D619" i="1"/>
  <c r="E619" i="1"/>
  <c r="F619" i="1"/>
  <c r="G619" i="1"/>
  <c r="H619" i="1"/>
  <c r="I619" i="1"/>
  <c r="J619" i="1"/>
  <c r="K619" i="1"/>
  <c r="L619" i="1"/>
  <c r="M619" i="1"/>
  <c r="N619" i="1"/>
  <c r="O619" i="1"/>
  <c r="P619" i="1"/>
  <c r="Q619" i="1"/>
  <c r="A620" i="1"/>
  <c r="B620" i="1"/>
  <c r="C620" i="1"/>
  <c r="D620" i="1"/>
  <c r="E620" i="1"/>
  <c r="F620" i="1"/>
  <c r="G620" i="1"/>
  <c r="H620" i="1"/>
  <c r="I620" i="1"/>
  <c r="J620" i="1"/>
  <c r="K620" i="1"/>
  <c r="L620" i="1"/>
  <c r="M620" i="1"/>
  <c r="N620" i="1"/>
  <c r="O620" i="1"/>
  <c r="P620" i="1"/>
  <c r="Q620" i="1"/>
  <c r="A621" i="1"/>
  <c r="B621" i="1"/>
  <c r="C621" i="1"/>
  <c r="E621" i="1"/>
  <c r="F621" i="1"/>
  <c r="G621" i="1"/>
  <c r="H621" i="1"/>
  <c r="I621" i="1"/>
  <c r="J621" i="1"/>
  <c r="K621" i="1"/>
  <c r="L621" i="1"/>
  <c r="M621" i="1"/>
  <c r="N621" i="1"/>
  <c r="O621" i="1"/>
  <c r="P621" i="1"/>
  <c r="Q621" i="1"/>
  <c r="A622" i="1"/>
  <c r="B622" i="1"/>
  <c r="C622" i="1"/>
  <c r="D622" i="1"/>
  <c r="E622" i="1"/>
  <c r="F622" i="1"/>
  <c r="G622" i="1"/>
  <c r="H622" i="1"/>
  <c r="I622" i="1"/>
  <c r="J622" i="1"/>
  <c r="K622" i="1"/>
  <c r="L622" i="1"/>
  <c r="M622" i="1"/>
  <c r="N622" i="1"/>
  <c r="O622" i="1"/>
  <c r="P622" i="1"/>
  <c r="Q622" i="1"/>
  <c r="A623" i="1"/>
  <c r="B623" i="1"/>
  <c r="C623" i="1"/>
  <c r="E623" i="1"/>
  <c r="F623" i="1"/>
  <c r="G623" i="1"/>
  <c r="H623" i="1"/>
  <c r="I623" i="1"/>
  <c r="J623" i="1"/>
  <c r="K623" i="1"/>
  <c r="L623" i="1"/>
  <c r="M623" i="1"/>
  <c r="N623" i="1"/>
  <c r="O623" i="1"/>
  <c r="P623" i="1"/>
  <c r="Q623" i="1"/>
  <c r="A624" i="1"/>
  <c r="B624" i="1"/>
  <c r="C624" i="1"/>
  <c r="E624" i="1"/>
  <c r="F624" i="1"/>
  <c r="G624" i="1"/>
  <c r="H624" i="1"/>
  <c r="I624" i="1"/>
  <c r="J624" i="1"/>
  <c r="K624" i="1"/>
  <c r="L624" i="1"/>
  <c r="M624" i="1"/>
  <c r="N624" i="1"/>
  <c r="O624" i="1"/>
  <c r="P624" i="1"/>
  <c r="Q624" i="1"/>
  <c r="A625" i="1"/>
  <c r="B625" i="1"/>
  <c r="C625" i="1"/>
  <c r="D625" i="1"/>
  <c r="E625" i="1"/>
  <c r="F625" i="1"/>
  <c r="G625" i="1"/>
  <c r="H625" i="1"/>
  <c r="I625" i="1"/>
  <c r="J625" i="1"/>
  <c r="K625" i="1"/>
  <c r="L625" i="1"/>
  <c r="M625" i="1"/>
  <c r="N625" i="1"/>
  <c r="O625" i="1"/>
  <c r="P625" i="1"/>
  <c r="Q625" i="1"/>
  <c r="A626" i="1"/>
  <c r="B626" i="1"/>
  <c r="C626" i="1"/>
  <c r="D626" i="1"/>
  <c r="E626" i="1"/>
  <c r="F626" i="1"/>
  <c r="G626" i="1"/>
  <c r="H626" i="1"/>
  <c r="I626" i="1"/>
  <c r="J626" i="1"/>
  <c r="K626" i="1"/>
  <c r="L626" i="1"/>
  <c r="M626" i="1"/>
  <c r="N626" i="1"/>
  <c r="O626" i="1"/>
  <c r="P626" i="1"/>
  <c r="Q626" i="1"/>
  <c r="A627" i="1"/>
  <c r="B627" i="1"/>
  <c r="C627" i="1"/>
  <c r="D627" i="1"/>
  <c r="E627" i="1"/>
  <c r="F627" i="1"/>
  <c r="G627" i="1"/>
  <c r="H627" i="1"/>
  <c r="I627" i="1"/>
  <c r="J627" i="1"/>
  <c r="K627" i="1"/>
  <c r="L627" i="1"/>
  <c r="M627" i="1"/>
  <c r="N627" i="1"/>
  <c r="O627" i="1"/>
  <c r="P627" i="1"/>
  <c r="Q627" i="1"/>
  <c r="A628" i="1"/>
  <c r="B628" i="1"/>
  <c r="C628" i="1"/>
  <c r="E628" i="1"/>
  <c r="F628" i="1"/>
  <c r="G628" i="1"/>
  <c r="H628" i="1"/>
  <c r="I628" i="1"/>
  <c r="J628" i="1"/>
  <c r="K628" i="1"/>
  <c r="L628" i="1"/>
  <c r="M628" i="1"/>
  <c r="N628" i="1"/>
  <c r="O628" i="1"/>
  <c r="P628" i="1"/>
  <c r="Q628" i="1"/>
  <c r="A629" i="1"/>
  <c r="B629" i="1"/>
  <c r="C629" i="1"/>
  <c r="D629" i="1"/>
  <c r="E629" i="1"/>
  <c r="F629" i="1"/>
  <c r="G629" i="1"/>
  <c r="H629" i="1"/>
  <c r="I629" i="1"/>
  <c r="J629" i="1"/>
  <c r="K629" i="1"/>
  <c r="L629" i="1"/>
  <c r="M629" i="1"/>
  <c r="N629" i="1"/>
  <c r="O629" i="1"/>
  <c r="P629" i="1"/>
  <c r="Q629" i="1"/>
  <c r="A630" i="1"/>
  <c r="B630" i="1"/>
  <c r="C630" i="1"/>
  <c r="D630" i="1"/>
  <c r="E630" i="1"/>
  <c r="F630" i="1"/>
  <c r="G630" i="1"/>
  <c r="H630" i="1"/>
  <c r="I630" i="1"/>
  <c r="J630" i="1"/>
  <c r="K630" i="1"/>
  <c r="L630" i="1"/>
  <c r="M630" i="1"/>
  <c r="N630" i="1"/>
  <c r="O630" i="1"/>
  <c r="P630" i="1"/>
  <c r="Q630" i="1"/>
  <c r="A631" i="1"/>
  <c r="B631" i="1"/>
  <c r="C631" i="1"/>
  <c r="D631" i="1"/>
  <c r="E631" i="1"/>
  <c r="F631" i="1"/>
  <c r="G631" i="1"/>
  <c r="H631" i="1"/>
  <c r="I631" i="1"/>
  <c r="J631" i="1"/>
  <c r="K631" i="1"/>
  <c r="L631" i="1"/>
  <c r="M631" i="1"/>
  <c r="N631" i="1"/>
  <c r="O631" i="1"/>
  <c r="P631" i="1"/>
  <c r="Q631" i="1"/>
  <c r="A632" i="1"/>
  <c r="B632" i="1"/>
  <c r="C632" i="1"/>
  <c r="E632" i="1"/>
  <c r="F632" i="1"/>
  <c r="G632" i="1"/>
  <c r="H632" i="1"/>
  <c r="I632" i="1"/>
  <c r="J632" i="1"/>
  <c r="K632" i="1"/>
  <c r="L632" i="1"/>
  <c r="M632" i="1"/>
  <c r="N632" i="1"/>
  <c r="O632" i="1"/>
  <c r="P632" i="1"/>
  <c r="Q632" i="1"/>
  <c r="A633" i="1"/>
  <c r="B633" i="1"/>
  <c r="C633" i="1"/>
  <c r="E633" i="1"/>
  <c r="F633" i="1"/>
  <c r="G633" i="1"/>
  <c r="H633" i="1"/>
  <c r="I633" i="1"/>
  <c r="J633" i="1"/>
  <c r="K633" i="1"/>
  <c r="L633" i="1"/>
  <c r="M633" i="1"/>
  <c r="N633" i="1"/>
  <c r="O633" i="1"/>
  <c r="P633" i="1"/>
  <c r="Q633" i="1"/>
  <c r="A634" i="1"/>
  <c r="B634" i="1"/>
  <c r="C634" i="1"/>
  <c r="D634" i="1"/>
  <c r="E634" i="1"/>
  <c r="F634" i="1"/>
  <c r="G634" i="1"/>
  <c r="H634" i="1"/>
  <c r="I634" i="1"/>
  <c r="J634" i="1"/>
  <c r="K634" i="1"/>
  <c r="L634" i="1"/>
  <c r="M634" i="1"/>
  <c r="N634" i="1"/>
  <c r="O634" i="1"/>
  <c r="P634" i="1"/>
  <c r="Q634" i="1"/>
  <c r="A635" i="1"/>
  <c r="B635" i="1"/>
  <c r="C635" i="1"/>
  <c r="E635" i="1"/>
  <c r="F635" i="1"/>
  <c r="G635" i="1"/>
  <c r="H635" i="1"/>
  <c r="I635" i="1"/>
  <c r="J635" i="1"/>
  <c r="K635" i="1"/>
  <c r="L635" i="1"/>
  <c r="M635" i="1"/>
  <c r="N635" i="1"/>
  <c r="O635" i="1"/>
  <c r="P635" i="1"/>
  <c r="Q635" i="1"/>
  <c r="A636" i="1"/>
  <c r="B636" i="1"/>
  <c r="C636" i="1"/>
  <c r="E636" i="1"/>
  <c r="F636" i="1"/>
  <c r="G636" i="1"/>
  <c r="H636" i="1"/>
  <c r="I636" i="1"/>
  <c r="J636" i="1"/>
  <c r="K636" i="1"/>
  <c r="L636" i="1"/>
  <c r="M636" i="1"/>
  <c r="N636" i="1"/>
  <c r="O636" i="1"/>
  <c r="P636" i="1"/>
  <c r="Q636" i="1"/>
  <c r="A637" i="1"/>
  <c r="B637" i="1"/>
  <c r="C637" i="1"/>
  <c r="D637" i="1"/>
  <c r="E637" i="1"/>
  <c r="F637" i="1"/>
  <c r="G637" i="1"/>
  <c r="H637" i="1"/>
  <c r="I637" i="1"/>
  <c r="J637" i="1"/>
  <c r="K637" i="1"/>
  <c r="L637" i="1"/>
  <c r="M637" i="1"/>
  <c r="N637" i="1"/>
  <c r="O637" i="1"/>
  <c r="P637" i="1"/>
  <c r="Q637" i="1"/>
  <c r="A638" i="1"/>
  <c r="B638" i="1"/>
  <c r="C638" i="1"/>
  <c r="D638" i="1"/>
  <c r="E638" i="1"/>
  <c r="F638" i="1"/>
  <c r="G638" i="1"/>
  <c r="H638" i="1"/>
  <c r="I638" i="1"/>
  <c r="J638" i="1"/>
  <c r="K638" i="1"/>
  <c r="L638" i="1"/>
  <c r="M638" i="1"/>
  <c r="N638" i="1"/>
  <c r="O638" i="1"/>
  <c r="P638" i="1"/>
  <c r="Q638" i="1"/>
  <c r="A639" i="1"/>
  <c r="B639" i="1"/>
  <c r="C639" i="1"/>
  <c r="D639" i="1"/>
  <c r="E639" i="1"/>
  <c r="F639" i="1"/>
  <c r="G639" i="1"/>
  <c r="H639" i="1"/>
  <c r="I639" i="1"/>
  <c r="J639" i="1"/>
  <c r="K639" i="1"/>
  <c r="L639" i="1"/>
  <c r="M639" i="1"/>
  <c r="N639" i="1"/>
  <c r="O639" i="1"/>
  <c r="P639" i="1"/>
  <c r="Q639" i="1"/>
  <c r="A640" i="1"/>
  <c r="B640" i="1"/>
  <c r="C640" i="1"/>
  <c r="D640" i="1"/>
  <c r="E640" i="1"/>
  <c r="F640" i="1"/>
  <c r="G640" i="1"/>
  <c r="H640" i="1"/>
  <c r="I640" i="1"/>
  <c r="J640" i="1"/>
  <c r="K640" i="1"/>
  <c r="L640" i="1"/>
  <c r="M640" i="1"/>
  <c r="N640" i="1"/>
  <c r="O640" i="1"/>
  <c r="P640" i="1"/>
  <c r="Q640" i="1"/>
  <c r="A641" i="1"/>
  <c r="B641" i="1"/>
  <c r="C641" i="1"/>
  <c r="E641" i="1"/>
  <c r="F641" i="1"/>
  <c r="G641" i="1"/>
  <c r="H641" i="1"/>
  <c r="I641" i="1"/>
  <c r="J641" i="1"/>
  <c r="K641" i="1"/>
  <c r="L641" i="1"/>
  <c r="M641" i="1"/>
  <c r="N641" i="1"/>
  <c r="O641" i="1"/>
  <c r="P641" i="1"/>
  <c r="Q641" i="1"/>
  <c r="A642" i="1"/>
  <c r="B642" i="1"/>
  <c r="C642" i="1"/>
  <c r="D642" i="1"/>
  <c r="E642" i="1"/>
  <c r="F642" i="1"/>
  <c r="G642" i="1"/>
  <c r="H642" i="1"/>
  <c r="I642" i="1"/>
  <c r="J642" i="1"/>
  <c r="K642" i="1"/>
  <c r="L642" i="1"/>
  <c r="M642" i="1"/>
  <c r="N642" i="1"/>
  <c r="O642" i="1"/>
  <c r="P642" i="1"/>
  <c r="Q642" i="1"/>
  <c r="A643" i="1"/>
  <c r="B643" i="1"/>
  <c r="C643" i="1"/>
  <c r="D643" i="1"/>
  <c r="E643" i="1"/>
  <c r="F643" i="1"/>
  <c r="G643" i="1"/>
  <c r="H643" i="1"/>
  <c r="I643" i="1"/>
  <c r="J643" i="1"/>
  <c r="K643" i="1"/>
  <c r="L643" i="1"/>
  <c r="M643" i="1"/>
  <c r="N643" i="1"/>
  <c r="O643" i="1"/>
  <c r="P643" i="1"/>
  <c r="Q643" i="1"/>
  <c r="A644" i="1"/>
  <c r="B644" i="1"/>
  <c r="C644" i="1"/>
  <c r="E644" i="1"/>
  <c r="F644" i="1"/>
  <c r="G644" i="1"/>
  <c r="H644" i="1"/>
  <c r="I644" i="1"/>
  <c r="J644" i="1"/>
  <c r="K644" i="1"/>
  <c r="L644" i="1"/>
  <c r="M644" i="1"/>
  <c r="N644" i="1"/>
  <c r="O644" i="1"/>
  <c r="P644" i="1"/>
  <c r="Q644" i="1"/>
  <c r="A645" i="1"/>
  <c r="B645" i="1"/>
  <c r="C645" i="1"/>
  <c r="E645" i="1"/>
  <c r="F645" i="1"/>
  <c r="G645" i="1"/>
  <c r="H645" i="1"/>
  <c r="I645" i="1"/>
  <c r="J645" i="1"/>
  <c r="K645" i="1"/>
  <c r="L645" i="1"/>
  <c r="M645" i="1"/>
  <c r="N645" i="1"/>
  <c r="O645" i="1"/>
  <c r="P645" i="1"/>
  <c r="Q645" i="1"/>
  <c r="A646" i="1"/>
  <c r="B646" i="1"/>
  <c r="C646" i="1"/>
  <c r="E646" i="1"/>
  <c r="F646" i="1"/>
  <c r="G646" i="1"/>
  <c r="H646" i="1"/>
  <c r="I646" i="1"/>
  <c r="J646" i="1"/>
  <c r="K646" i="1"/>
  <c r="L646" i="1"/>
  <c r="M646" i="1"/>
  <c r="N646" i="1"/>
  <c r="O646" i="1"/>
  <c r="P646" i="1"/>
  <c r="Q646" i="1"/>
  <c r="A647" i="1"/>
  <c r="B647" i="1"/>
  <c r="C647" i="1"/>
  <c r="D647" i="1"/>
  <c r="E647" i="1"/>
  <c r="F647" i="1"/>
  <c r="G647" i="1"/>
  <c r="H647" i="1"/>
  <c r="I647" i="1"/>
  <c r="J647" i="1"/>
  <c r="K647" i="1"/>
  <c r="L647" i="1"/>
  <c r="M647" i="1"/>
  <c r="N647" i="1"/>
  <c r="O647" i="1"/>
  <c r="P647" i="1"/>
  <c r="Q647" i="1"/>
  <c r="A648" i="1"/>
  <c r="B648" i="1"/>
  <c r="C648" i="1"/>
  <c r="E648" i="1"/>
  <c r="F648" i="1"/>
  <c r="G648" i="1"/>
  <c r="H648" i="1"/>
  <c r="I648" i="1"/>
  <c r="J648" i="1"/>
  <c r="K648" i="1"/>
  <c r="L648" i="1"/>
  <c r="M648" i="1"/>
  <c r="N648" i="1"/>
  <c r="O648" i="1"/>
  <c r="P648" i="1"/>
  <c r="Q648" i="1"/>
  <c r="A649" i="1"/>
  <c r="B649" i="1"/>
  <c r="C649" i="1"/>
  <c r="E649" i="1"/>
  <c r="F649" i="1"/>
  <c r="G649" i="1"/>
  <c r="H649" i="1"/>
  <c r="I649" i="1"/>
  <c r="J649" i="1"/>
  <c r="K649" i="1"/>
  <c r="L649" i="1"/>
  <c r="M649" i="1"/>
  <c r="N649" i="1"/>
  <c r="O649" i="1"/>
  <c r="P649" i="1"/>
  <c r="Q649" i="1"/>
  <c r="A650" i="1"/>
  <c r="B650" i="1"/>
  <c r="C650" i="1"/>
  <c r="E650" i="1"/>
  <c r="F650" i="1"/>
  <c r="G650" i="1"/>
  <c r="H650" i="1"/>
  <c r="I650" i="1"/>
  <c r="J650" i="1"/>
  <c r="K650" i="1"/>
  <c r="L650" i="1"/>
  <c r="M650" i="1"/>
  <c r="N650" i="1"/>
  <c r="O650" i="1"/>
  <c r="P650" i="1"/>
  <c r="Q650" i="1"/>
  <c r="A651" i="1"/>
  <c r="B651" i="1"/>
  <c r="C651" i="1"/>
  <c r="E651" i="1"/>
  <c r="F651" i="1"/>
  <c r="G651" i="1"/>
  <c r="H651" i="1"/>
  <c r="I651" i="1"/>
  <c r="J651" i="1"/>
  <c r="K651" i="1"/>
  <c r="L651" i="1"/>
  <c r="M651" i="1"/>
  <c r="N651" i="1"/>
  <c r="O651" i="1"/>
  <c r="P651" i="1"/>
  <c r="Q651" i="1"/>
  <c r="A652" i="1"/>
  <c r="B652" i="1"/>
  <c r="C652" i="1"/>
  <c r="E652" i="1"/>
  <c r="F652" i="1"/>
  <c r="G652" i="1"/>
  <c r="H652" i="1"/>
  <c r="I652" i="1"/>
  <c r="J652" i="1"/>
  <c r="K652" i="1"/>
  <c r="L652" i="1"/>
  <c r="M652" i="1"/>
  <c r="N652" i="1"/>
  <c r="O652" i="1"/>
  <c r="P652" i="1"/>
  <c r="Q652" i="1"/>
  <c r="A653" i="1"/>
  <c r="B653" i="1"/>
  <c r="C653" i="1"/>
  <c r="E653" i="1"/>
  <c r="F653" i="1"/>
  <c r="G653" i="1"/>
  <c r="H653" i="1"/>
  <c r="I653" i="1"/>
  <c r="J653" i="1"/>
  <c r="K653" i="1"/>
  <c r="L653" i="1"/>
  <c r="M653" i="1"/>
  <c r="N653" i="1"/>
  <c r="O653" i="1"/>
  <c r="P653" i="1"/>
  <c r="Q653" i="1"/>
  <c r="A654" i="1"/>
  <c r="B654" i="1"/>
  <c r="C654" i="1"/>
  <c r="E654" i="1"/>
  <c r="F654" i="1"/>
  <c r="G654" i="1"/>
  <c r="H654" i="1"/>
  <c r="I654" i="1"/>
  <c r="J654" i="1"/>
  <c r="K654" i="1"/>
  <c r="L654" i="1"/>
  <c r="M654" i="1"/>
  <c r="N654" i="1"/>
  <c r="O654" i="1"/>
  <c r="P654" i="1"/>
  <c r="Q654" i="1"/>
  <c r="A655" i="1"/>
  <c r="B655" i="1"/>
  <c r="C655" i="1"/>
  <c r="E655" i="1"/>
  <c r="F655" i="1"/>
  <c r="G655" i="1"/>
  <c r="H655" i="1"/>
  <c r="I655" i="1"/>
  <c r="J655" i="1"/>
  <c r="K655" i="1"/>
  <c r="L655" i="1"/>
  <c r="M655" i="1"/>
  <c r="N655" i="1"/>
  <c r="O655" i="1"/>
  <c r="P655" i="1"/>
  <c r="Q655" i="1"/>
  <c r="A656" i="1"/>
  <c r="B656" i="1"/>
  <c r="C656" i="1"/>
  <c r="E656" i="1"/>
  <c r="F656" i="1"/>
  <c r="G656" i="1"/>
  <c r="H656" i="1"/>
  <c r="I656" i="1"/>
  <c r="J656" i="1"/>
  <c r="K656" i="1"/>
  <c r="L656" i="1"/>
  <c r="M656" i="1"/>
  <c r="N656" i="1"/>
  <c r="O656" i="1"/>
  <c r="P656" i="1"/>
  <c r="Q656" i="1"/>
  <c r="A657" i="1"/>
  <c r="B657" i="1"/>
  <c r="C657" i="1"/>
  <c r="E657" i="1"/>
  <c r="F657" i="1"/>
  <c r="G657" i="1"/>
  <c r="H657" i="1"/>
  <c r="I657" i="1"/>
  <c r="J657" i="1"/>
  <c r="K657" i="1"/>
  <c r="L657" i="1"/>
  <c r="M657" i="1"/>
  <c r="N657" i="1"/>
  <c r="O657" i="1"/>
  <c r="P657" i="1"/>
  <c r="Q657" i="1"/>
  <c r="A658" i="1"/>
  <c r="B658" i="1"/>
  <c r="C658" i="1"/>
  <c r="E658" i="1"/>
  <c r="F658" i="1"/>
  <c r="G658" i="1"/>
  <c r="H658" i="1"/>
  <c r="I658" i="1"/>
  <c r="J658" i="1"/>
  <c r="K658" i="1"/>
  <c r="L658" i="1"/>
  <c r="M658" i="1"/>
  <c r="N658" i="1"/>
  <c r="O658" i="1"/>
  <c r="P658" i="1"/>
  <c r="Q658" i="1"/>
  <c r="A659" i="1"/>
  <c r="B659" i="1"/>
  <c r="C659" i="1"/>
  <c r="E659" i="1"/>
  <c r="F659" i="1"/>
  <c r="G659" i="1"/>
  <c r="H659" i="1"/>
  <c r="I659" i="1"/>
  <c r="J659" i="1"/>
  <c r="K659" i="1"/>
  <c r="L659" i="1"/>
  <c r="M659" i="1"/>
  <c r="N659" i="1"/>
  <c r="O659" i="1"/>
  <c r="P659" i="1"/>
  <c r="Q659" i="1"/>
  <c r="A660" i="1"/>
  <c r="B660" i="1"/>
  <c r="C660" i="1"/>
  <c r="E660" i="1"/>
  <c r="F660" i="1"/>
  <c r="G660" i="1"/>
  <c r="H660" i="1"/>
  <c r="I660" i="1"/>
  <c r="J660" i="1"/>
  <c r="K660" i="1"/>
  <c r="L660" i="1"/>
  <c r="M660" i="1"/>
  <c r="N660" i="1"/>
  <c r="O660" i="1"/>
  <c r="P660" i="1"/>
  <c r="Q660" i="1"/>
  <c r="A661" i="1"/>
  <c r="B661" i="1"/>
  <c r="C661" i="1"/>
  <c r="D661" i="1"/>
  <c r="E661" i="1"/>
  <c r="F661" i="1"/>
  <c r="G661" i="1"/>
  <c r="H661" i="1"/>
  <c r="I661" i="1"/>
  <c r="J661" i="1"/>
  <c r="K661" i="1"/>
  <c r="L661" i="1"/>
  <c r="M661" i="1"/>
  <c r="N661" i="1"/>
  <c r="O661" i="1"/>
  <c r="P661" i="1"/>
  <c r="Q661" i="1"/>
  <c r="A662" i="1"/>
  <c r="B662" i="1"/>
  <c r="C662" i="1"/>
  <c r="E662" i="1"/>
  <c r="F662" i="1"/>
  <c r="G662" i="1"/>
  <c r="H662" i="1"/>
  <c r="I662" i="1"/>
  <c r="J662" i="1"/>
  <c r="K662" i="1"/>
  <c r="L662" i="1"/>
  <c r="M662" i="1"/>
  <c r="N662" i="1"/>
  <c r="O662" i="1"/>
  <c r="P662" i="1"/>
  <c r="Q662" i="1"/>
  <c r="A663" i="1"/>
  <c r="B663" i="1"/>
  <c r="C663" i="1"/>
  <c r="E663" i="1"/>
  <c r="F663" i="1"/>
  <c r="G663" i="1"/>
  <c r="H663" i="1"/>
  <c r="I663" i="1"/>
  <c r="J663" i="1"/>
  <c r="K663" i="1"/>
  <c r="L663" i="1"/>
  <c r="M663" i="1"/>
  <c r="N663" i="1"/>
  <c r="O663" i="1"/>
  <c r="P663" i="1"/>
  <c r="Q663" i="1"/>
  <c r="A664" i="1"/>
  <c r="B664" i="1"/>
  <c r="C664" i="1"/>
  <c r="E664" i="1"/>
  <c r="F664" i="1"/>
  <c r="G664" i="1"/>
  <c r="H664" i="1"/>
  <c r="I664" i="1"/>
  <c r="J664" i="1"/>
  <c r="K664" i="1"/>
  <c r="L664" i="1"/>
  <c r="M664" i="1"/>
  <c r="N664" i="1"/>
  <c r="O664" i="1"/>
  <c r="P664" i="1"/>
  <c r="Q664" i="1"/>
  <c r="A665" i="1"/>
  <c r="B665" i="1"/>
  <c r="C665" i="1"/>
  <c r="E665" i="1"/>
  <c r="F665" i="1"/>
  <c r="G665" i="1"/>
  <c r="H665" i="1"/>
  <c r="I665" i="1"/>
  <c r="J665" i="1"/>
  <c r="K665" i="1"/>
  <c r="L665" i="1"/>
  <c r="M665" i="1"/>
  <c r="N665" i="1"/>
  <c r="O665" i="1"/>
  <c r="P665" i="1"/>
  <c r="Q665" i="1"/>
  <c r="A666" i="1"/>
  <c r="B666" i="1"/>
  <c r="C666" i="1"/>
  <c r="D666" i="1"/>
  <c r="E666" i="1"/>
  <c r="F666" i="1"/>
  <c r="G666" i="1"/>
  <c r="H666" i="1"/>
  <c r="I666" i="1"/>
  <c r="J666" i="1"/>
  <c r="K666" i="1"/>
  <c r="L666" i="1"/>
  <c r="M666" i="1"/>
  <c r="N666" i="1"/>
  <c r="O666" i="1"/>
  <c r="P666" i="1"/>
  <c r="Q666" i="1"/>
  <c r="A667" i="1"/>
  <c r="B667" i="1"/>
  <c r="C667" i="1"/>
  <c r="E667" i="1"/>
  <c r="F667" i="1"/>
  <c r="G667" i="1"/>
  <c r="H667" i="1"/>
  <c r="I667" i="1"/>
  <c r="J667" i="1"/>
  <c r="K667" i="1"/>
  <c r="L667" i="1"/>
  <c r="M667" i="1"/>
  <c r="N667" i="1"/>
  <c r="O667" i="1"/>
  <c r="P667" i="1"/>
  <c r="Q667" i="1"/>
  <c r="A668" i="1"/>
  <c r="B668" i="1"/>
  <c r="C668" i="1"/>
  <c r="E668" i="1"/>
  <c r="F668" i="1"/>
  <c r="G668" i="1"/>
  <c r="H668" i="1"/>
  <c r="I668" i="1"/>
  <c r="J668" i="1"/>
  <c r="K668" i="1"/>
  <c r="L668" i="1"/>
  <c r="M668" i="1"/>
  <c r="N668" i="1"/>
  <c r="O668" i="1"/>
  <c r="P668" i="1"/>
  <c r="Q668" i="1"/>
  <c r="A669" i="1"/>
  <c r="B669" i="1"/>
  <c r="C669" i="1"/>
  <c r="D669" i="1"/>
  <c r="E669" i="1"/>
  <c r="F669" i="1"/>
  <c r="G669" i="1"/>
  <c r="H669" i="1"/>
  <c r="I669" i="1"/>
  <c r="J669" i="1"/>
  <c r="K669" i="1"/>
  <c r="L669" i="1"/>
  <c r="M669" i="1"/>
  <c r="N669" i="1"/>
  <c r="O669" i="1"/>
  <c r="P669" i="1"/>
  <c r="Q669" i="1"/>
  <c r="A670" i="1"/>
  <c r="B670" i="1"/>
  <c r="C670" i="1"/>
  <c r="D670" i="1"/>
  <c r="E670" i="1"/>
  <c r="F670" i="1"/>
  <c r="G670" i="1"/>
  <c r="H670" i="1"/>
  <c r="I670" i="1"/>
  <c r="J670" i="1"/>
  <c r="K670" i="1"/>
  <c r="L670" i="1"/>
  <c r="M670" i="1"/>
  <c r="N670" i="1"/>
  <c r="O670" i="1"/>
  <c r="P670" i="1"/>
  <c r="Q670" i="1"/>
  <c r="A671" i="1"/>
  <c r="B671" i="1"/>
  <c r="C671" i="1"/>
  <c r="D671" i="1"/>
  <c r="E671" i="1"/>
  <c r="F671" i="1"/>
  <c r="G671" i="1"/>
  <c r="H671" i="1"/>
  <c r="I671" i="1"/>
  <c r="J671" i="1"/>
  <c r="K671" i="1"/>
  <c r="L671" i="1"/>
  <c r="M671" i="1"/>
  <c r="N671" i="1"/>
  <c r="O671" i="1"/>
  <c r="P671" i="1"/>
  <c r="Q671" i="1"/>
  <c r="A672" i="1"/>
  <c r="B672" i="1"/>
  <c r="C672" i="1"/>
  <c r="D672" i="1"/>
  <c r="E672" i="1"/>
  <c r="F672" i="1"/>
  <c r="G672" i="1"/>
  <c r="H672" i="1"/>
  <c r="I672" i="1"/>
  <c r="J672" i="1"/>
  <c r="K672" i="1"/>
  <c r="L672" i="1"/>
  <c r="M672" i="1"/>
  <c r="N672" i="1"/>
  <c r="O672" i="1"/>
  <c r="P672" i="1"/>
  <c r="Q672" i="1"/>
  <c r="A673" i="1"/>
  <c r="B673" i="1"/>
  <c r="C673" i="1"/>
  <c r="E673" i="1"/>
  <c r="F673" i="1"/>
  <c r="G673" i="1"/>
  <c r="H673" i="1"/>
  <c r="I673" i="1"/>
  <c r="J673" i="1"/>
  <c r="K673" i="1"/>
  <c r="L673" i="1"/>
  <c r="M673" i="1"/>
  <c r="N673" i="1"/>
  <c r="O673" i="1"/>
  <c r="P673" i="1"/>
  <c r="Q673" i="1"/>
  <c r="A674" i="1"/>
  <c r="B674" i="1"/>
  <c r="C674" i="1"/>
  <c r="E674" i="1"/>
  <c r="F674" i="1"/>
  <c r="G674" i="1"/>
  <c r="H674" i="1"/>
  <c r="I674" i="1"/>
  <c r="J674" i="1"/>
  <c r="K674" i="1"/>
  <c r="L674" i="1"/>
  <c r="M674" i="1"/>
  <c r="N674" i="1"/>
  <c r="O674" i="1"/>
  <c r="P674" i="1"/>
  <c r="Q674" i="1"/>
  <c r="A675" i="1"/>
  <c r="B675" i="1"/>
  <c r="C675" i="1"/>
  <c r="E675" i="1"/>
  <c r="F675" i="1"/>
  <c r="G675" i="1"/>
  <c r="H675" i="1"/>
  <c r="I675" i="1"/>
  <c r="J675" i="1"/>
  <c r="K675" i="1"/>
  <c r="L675" i="1"/>
  <c r="M675" i="1"/>
  <c r="N675" i="1"/>
  <c r="O675" i="1"/>
  <c r="P675" i="1"/>
  <c r="Q675" i="1"/>
  <c r="A676" i="1"/>
  <c r="B676" i="1"/>
  <c r="C676" i="1"/>
  <c r="D676" i="1"/>
  <c r="E676" i="1"/>
  <c r="F676" i="1"/>
  <c r="G676" i="1"/>
  <c r="H676" i="1"/>
  <c r="I676" i="1"/>
  <c r="J676" i="1"/>
  <c r="K676" i="1"/>
  <c r="L676" i="1"/>
  <c r="M676" i="1"/>
  <c r="N676" i="1"/>
  <c r="O676" i="1"/>
  <c r="P676" i="1"/>
  <c r="Q676" i="1"/>
  <c r="A677" i="1"/>
  <c r="B677" i="1"/>
  <c r="C677" i="1"/>
  <c r="D677" i="1"/>
  <c r="E677" i="1"/>
  <c r="F677" i="1"/>
  <c r="G677" i="1"/>
  <c r="H677" i="1"/>
  <c r="I677" i="1"/>
  <c r="J677" i="1"/>
  <c r="K677" i="1"/>
  <c r="L677" i="1"/>
  <c r="M677" i="1"/>
  <c r="N677" i="1"/>
  <c r="O677" i="1"/>
  <c r="P677" i="1"/>
  <c r="Q677" i="1"/>
  <c r="A678" i="1"/>
  <c r="B678" i="1"/>
  <c r="C678" i="1"/>
  <c r="D678" i="1"/>
  <c r="E678" i="1"/>
  <c r="F678" i="1"/>
  <c r="G678" i="1"/>
  <c r="H678" i="1"/>
  <c r="I678" i="1"/>
  <c r="J678" i="1"/>
  <c r="K678" i="1"/>
  <c r="L678" i="1"/>
  <c r="M678" i="1"/>
  <c r="N678" i="1"/>
  <c r="O678" i="1"/>
  <c r="P678" i="1"/>
  <c r="Q678" i="1"/>
  <c r="A679" i="1"/>
  <c r="B679" i="1"/>
  <c r="C679" i="1"/>
  <c r="E679" i="1"/>
  <c r="F679" i="1"/>
  <c r="G679" i="1"/>
  <c r="H679" i="1"/>
  <c r="I679" i="1"/>
  <c r="J679" i="1"/>
  <c r="K679" i="1"/>
  <c r="L679" i="1"/>
  <c r="M679" i="1"/>
  <c r="N679" i="1"/>
  <c r="O679" i="1"/>
  <c r="P679" i="1"/>
  <c r="Q679" i="1"/>
  <c r="A680" i="1"/>
  <c r="B680" i="1"/>
  <c r="C680" i="1"/>
  <c r="E680" i="1"/>
  <c r="F680" i="1"/>
  <c r="G680" i="1"/>
  <c r="H680" i="1"/>
  <c r="I680" i="1"/>
  <c r="J680" i="1"/>
  <c r="K680" i="1"/>
  <c r="L680" i="1"/>
  <c r="M680" i="1"/>
  <c r="N680" i="1"/>
  <c r="O680" i="1"/>
  <c r="P680" i="1"/>
  <c r="Q680" i="1"/>
  <c r="A681" i="1"/>
  <c r="B681" i="1"/>
  <c r="C681" i="1"/>
  <c r="E681" i="1"/>
  <c r="F681" i="1"/>
  <c r="G681" i="1"/>
  <c r="H681" i="1"/>
  <c r="I681" i="1"/>
  <c r="J681" i="1"/>
  <c r="K681" i="1"/>
  <c r="L681" i="1"/>
  <c r="M681" i="1"/>
  <c r="N681" i="1"/>
  <c r="O681" i="1"/>
  <c r="P681" i="1"/>
  <c r="Q681" i="1"/>
  <c r="A682" i="1"/>
  <c r="B682" i="1"/>
  <c r="C682" i="1"/>
  <c r="D682" i="1"/>
  <c r="E682" i="1"/>
  <c r="F682" i="1"/>
  <c r="G682" i="1"/>
  <c r="H682" i="1"/>
  <c r="I682" i="1"/>
  <c r="J682" i="1"/>
  <c r="K682" i="1"/>
  <c r="L682" i="1"/>
  <c r="M682" i="1"/>
  <c r="N682" i="1"/>
  <c r="O682" i="1"/>
  <c r="P682" i="1"/>
  <c r="Q682" i="1"/>
  <c r="A683" i="1"/>
  <c r="B683" i="1"/>
  <c r="C683" i="1"/>
  <c r="D683" i="1"/>
  <c r="E683" i="1"/>
  <c r="F683" i="1"/>
  <c r="G683" i="1"/>
  <c r="H683" i="1"/>
  <c r="I683" i="1"/>
  <c r="J683" i="1"/>
  <c r="K683" i="1"/>
  <c r="L683" i="1"/>
  <c r="M683" i="1"/>
  <c r="N683" i="1"/>
  <c r="O683" i="1"/>
  <c r="P683" i="1"/>
  <c r="Q683" i="1"/>
  <c r="A684" i="1"/>
  <c r="B684" i="1"/>
  <c r="C684" i="1"/>
  <c r="D684" i="1"/>
  <c r="E684" i="1"/>
  <c r="F684" i="1"/>
  <c r="G684" i="1"/>
  <c r="H684" i="1"/>
  <c r="I684" i="1"/>
  <c r="J684" i="1"/>
  <c r="K684" i="1"/>
  <c r="L684" i="1"/>
  <c r="M684" i="1"/>
  <c r="N684" i="1"/>
  <c r="O684" i="1"/>
  <c r="P684" i="1"/>
  <c r="Q684" i="1"/>
  <c r="A685" i="1"/>
  <c r="B685" i="1"/>
  <c r="C685" i="1"/>
  <c r="E685" i="1"/>
  <c r="F685" i="1"/>
  <c r="G685" i="1"/>
  <c r="H685" i="1"/>
  <c r="I685" i="1"/>
  <c r="J685" i="1"/>
  <c r="K685" i="1"/>
  <c r="L685" i="1"/>
  <c r="M685" i="1"/>
  <c r="N685" i="1"/>
  <c r="O685" i="1"/>
  <c r="P685" i="1"/>
  <c r="Q685" i="1"/>
  <c r="A686" i="1"/>
  <c r="B686" i="1"/>
  <c r="C686" i="1"/>
  <c r="D686" i="1"/>
  <c r="E686" i="1"/>
  <c r="F686" i="1"/>
  <c r="G686" i="1"/>
  <c r="H686" i="1"/>
  <c r="I686" i="1"/>
  <c r="J686" i="1"/>
  <c r="K686" i="1"/>
  <c r="L686" i="1"/>
  <c r="M686" i="1"/>
  <c r="N686" i="1"/>
  <c r="O686" i="1"/>
  <c r="P686" i="1"/>
  <c r="Q686" i="1"/>
  <c r="A687" i="1"/>
  <c r="B687" i="1"/>
  <c r="C687" i="1"/>
  <c r="D687" i="1"/>
  <c r="E687" i="1"/>
  <c r="F687" i="1"/>
  <c r="G687" i="1"/>
  <c r="H687" i="1"/>
  <c r="I687" i="1"/>
  <c r="J687" i="1"/>
  <c r="K687" i="1"/>
  <c r="L687" i="1"/>
  <c r="M687" i="1"/>
  <c r="N687" i="1"/>
  <c r="O687" i="1"/>
  <c r="P687" i="1"/>
  <c r="Q687" i="1"/>
  <c r="A688" i="1"/>
  <c r="B688" i="1"/>
  <c r="C688" i="1"/>
  <c r="E688" i="1"/>
  <c r="F688" i="1"/>
  <c r="G688" i="1"/>
  <c r="H688" i="1"/>
  <c r="I688" i="1"/>
  <c r="J688" i="1"/>
  <c r="K688" i="1"/>
  <c r="L688" i="1"/>
  <c r="M688" i="1"/>
  <c r="N688" i="1"/>
  <c r="O688" i="1"/>
  <c r="P688" i="1"/>
  <c r="Q688" i="1"/>
  <c r="A689" i="1"/>
  <c r="B689" i="1"/>
  <c r="C689" i="1"/>
  <c r="E689" i="1"/>
  <c r="F689" i="1"/>
  <c r="G689" i="1"/>
  <c r="H689" i="1"/>
  <c r="I689" i="1"/>
  <c r="J689" i="1"/>
  <c r="K689" i="1"/>
  <c r="L689" i="1"/>
  <c r="M689" i="1"/>
  <c r="N689" i="1"/>
  <c r="O689" i="1"/>
  <c r="P689" i="1"/>
  <c r="Q689" i="1"/>
  <c r="A690" i="1"/>
  <c r="B690" i="1"/>
  <c r="C690" i="1"/>
  <c r="D690" i="1"/>
  <c r="E690" i="1"/>
  <c r="F690" i="1"/>
  <c r="G690" i="1"/>
  <c r="H690" i="1"/>
  <c r="I690" i="1"/>
  <c r="J690" i="1"/>
  <c r="K690" i="1"/>
  <c r="L690" i="1"/>
  <c r="M690" i="1"/>
  <c r="N690" i="1"/>
  <c r="O690" i="1"/>
  <c r="P690" i="1"/>
  <c r="Q690" i="1"/>
  <c r="A691" i="1"/>
  <c r="B691" i="1"/>
  <c r="C691" i="1"/>
  <c r="D691" i="1"/>
  <c r="E691" i="1"/>
  <c r="F691" i="1"/>
  <c r="G691" i="1"/>
  <c r="H691" i="1"/>
  <c r="I691" i="1"/>
  <c r="J691" i="1"/>
  <c r="K691" i="1"/>
  <c r="L691" i="1"/>
  <c r="M691" i="1"/>
  <c r="N691" i="1"/>
  <c r="O691" i="1"/>
  <c r="P691" i="1"/>
  <c r="Q691" i="1"/>
  <c r="A692" i="1"/>
  <c r="B692" i="1"/>
  <c r="C692" i="1"/>
  <c r="E692" i="1"/>
  <c r="F692" i="1"/>
  <c r="G692" i="1"/>
  <c r="H692" i="1"/>
  <c r="I692" i="1"/>
  <c r="J692" i="1"/>
  <c r="K692" i="1"/>
  <c r="L692" i="1"/>
  <c r="M692" i="1"/>
  <c r="N692" i="1"/>
  <c r="O692" i="1"/>
  <c r="P692" i="1"/>
  <c r="Q692" i="1"/>
  <c r="A693" i="1"/>
  <c r="B693" i="1"/>
  <c r="C693" i="1"/>
  <c r="D693" i="1"/>
  <c r="E693" i="1"/>
  <c r="F693" i="1"/>
  <c r="G693" i="1"/>
  <c r="H693" i="1"/>
  <c r="I693" i="1"/>
  <c r="J693" i="1"/>
  <c r="K693" i="1"/>
  <c r="L693" i="1"/>
  <c r="M693" i="1"/>
  <c r="N693" i="1"/>
  <c r="O693" i="1"/>
  <c r="P693" i="1"/>
  <c r="Q693" i="1"/>
  <c r="A694" i="1"/>
  <c r="B694" i="1"/>
  <c r="C694" i="1"/>
  <c r="E694" i="1"/>
  <c r="F694" i="1"/>
  <c r="G694" i="1"/>
  <c r="H694" i="1"/>
  <c r="I694" i="1"/>
  <c r="J694" i="1"/>
  <c r="K694" i="1"/>
  <c r="L694" i="1"/>
  <c r="M694" i="1"/>
  <c r="N694" i="1"/>
  <c r="O694" i="1"/>
  <c r="P694" i="1"/>
  <c r="Q694" i="1"/>
  <c r="A695" i="1"/>
  <c r="B695" i="1"/>
  <c r="C695" i="1"/>
  <c r="E695" i="1"/>
  <c r="F695" i="1"/>
  <c r="G695" i="1"/>
  <c r="H695" i="1"/>
  <c r="I695" i="1"/>
  <c r="J695" i="1"/>
  <c r="K695" i="1"/>
  <c r="L695" i="1"/>
  <c r="M695" i="1"/>
  <c r="N695" i="1"/>
  <c r="O695" i="1"/>
  <c r="P695" i="1"/>
  <c r="Q695" i="1"/>
  <c r="A696" i="1"/>
  <c r="B696" i="1"/>
  <c r="C696" i="1"/>
  <c r="E696" i="1"/>
  <c r="F696" i="1"/>
  <c r="G696" i="1"/>
  <c r="H696" i="1"/>
  <c r="I696" i="1"/>
  <c r="J696" i="1"/>
  <c r="K696" i="1"/>
  <c r="L696" i="1"/>
  <c r="M696" i="1"/>
  <c r="N696" i="1"/>
  <c r="O696" i="1"/>
  <c r="P696" i="1"/>
  <c r="Q696" i="1"/>
  <c r="A697" i="1"/>
  <c r="B697" i="1"/>
  <c r="C697" i="1"/>
  <c r="D697" i="1"/>
  <c r="E697" i="1"/>
  <c r="F697" i="1"/>
  <c r="G697" i="1"/>
  <c r="H697" i="1"/>
  <c r="I697" i="1"/>
  <c r="J697" i="1"/>
  <c r="K697" i="1"/>
  <c r="L697" i="1"/>
  <c r="M697" i="1"/>
  <c r="N697" i="1"/>
  <c r="O697" i="1"/>
  <c r="P697" i="1"/>
  <c r="Q697" i="1"/>
  <c r="A698" i="1"/>
  <c r="B698" i="1"/>
  <c r="C698" i="1"/>
  <c r="E698" i="1"/>
  <c r="F698" i="1"/>
  <c r="G698" i="1"/>
  <c r="H698" i="1"/>
  <c r="I698" i="1"/>
  <c r="J698" i="1"/>
  <c r="K698" i="1"/>
  <c r="L698" i="1"/>
  <c r="M698" i="1"/>
  <c r="N698" i="1"/>
  <c r="O698" i="1"/>
  <c r="P698" i="1"/>
  <c r="Q698" i="1"/>
  <c r="A699" i="1"/>
  <c r="B699" i="1"/>
  <c r="C699" i="1"/>
  <c r="D699" i="1"/>
  <c r="E699" i="1"/>
  <c r="F699" i="1"/>
  <c r="G699" i="1"/>
  <c r="H699" i="1"/>
  <c r="I699" i="1"/>
  <c r="J699" i="1"/>
  <c r="K699" i="1"/>
  <c r="L699" i="1"/>
  <c r="M699" i="1"/>
  <c r="N699" i="1"/>
  <c r="O699" i="1"/>
  <c r="P699" i="1"/>
  <c r="Q699" i="1"/>
  <c r="A700" i="1"/>
  <c r="B700" i="1"/>
  <c r="C700" i="1"/>
  <c r="E700" i="1"/>
  <c r="F700" i="1"/>
  <c r="G700" i="1"/>
  <c r="H700" i="1"/>
  <c r="I700" i="1"/>
  <c r="J700" i="1"/>
  <c r="K700" i="1"/>
  <c r="L700" i="1"/>
  <c r="M700" i="1"/>
  <c r="N700" i="1"/>
  <c r="O700" i="1"/>
  <c r="P700" i="1"/>
  <c r="Q700" i="1"/>
  <c r="A701" i="1"/>
  <c r="B701" i="1"/>
  <c r="C701" i="1"/>
  <c r="E701" i="1"/>
  <c r="F701" i="1"/>
  <c r="G701" i="1"/>
  <c r="H701" i="1"/>
  <c r="I701" i="1"/>
  <c r="J701" i="1"/>
  <c r="K701" i="1"/>
  <c r="L701" i="1"/>
  <c r="M701" i="1"/>
  <c r="N701" i="1"/>
  <c r="O701" i="1"/>
  <c r="P701" i="1"/>
  <c r="Q701" i="1"/>
  <c r="A702" i="1"/>
  <c r="B702" i="1"/>
  <c r="C702" i="1"/>
  <c r="D702" i="1"/>
  <c r="E702" i="1"/>
  <c r="F702" i="1"/>
  <c r="G702" i="1"/>
  <c r="H702" i="1"/>
  <c r="I702" i="1"/>
  <c r="J702" i="1"/>
  <c r="K702" i="1"/>
  <c r="L702" i="1"/>
  <c r="M702" i="1"/>
  <c r="N702" i="1"/>
  <c r="O702" i="1"/>
  <c r="P702" i="1"/>
  <c r="Q702" i="1"/>
  <c r="A703" i="1"/>
  <c r="B703" i="1"/>
  <c r="C703" i="1"/>
  <c r="D703" i="1"/>
  <c r="E703" i="1"/>
  <c r="F703" i="1"/>
  <c r="G703" i="1"/>
  <c r="H703" i="1"/>
  <c r="I703" i="1"/>
  <c r="J703" i="1"/>
  <c r="K703" i="1"/>
  <c r="L703" i="1"/>
  <c r="M703" i="1"/>
  <c r="N703" i="1"/>
  <c r="O703" i="1"/>
  <c r="P703" i="1"/>
  <c r="Q703" i="1"/>
  <c r="A704" i="1"/>
  <c r="B704" i="1"/>
  <c r="C704" i="1"/>
  <c r="D704" i="1"/>
  <c r="E704" i="1"/>
  <c r="F704" i="1"/>
  <c r="G704" i="1"/>
  <c r="H704" i="1"/>
  <c r="I704" i="1"/>
  <c r="J704" i="1"/>
  <c r="K704" i="1"/>
  <c r="L704" i="1"/>
  <c r="M704" i="1"/>
  <c r="N704" i="1"/>
  <c r="O704" i="1"/>
  <c r="P704" i="1"/>
  <c r="Q704" i="1"/>
  <c r="A705" i="1"/>
  <c r="B705" i="1"/>
  <c r="C705" i="1"/>
  <c r="D705" i="1"/>
  <c r="E705" i="1"/>
  <c r="F705" i="1"/>
  <c r="G705" i="1"/>
  <c r="H705" i="1"/>
  <c r="I705" i="1"/>
  <c r="J705" i="1"/>
  <c r="K705" i="1"/>
  <c r="L705" i="1"/>
  <c r="M705" i="1"/>
  <c r="N705" i="1"/>
  <c r="O705" i="1"/>
  <c r="P705" i="1"/>
  <c r="Q705" i="1"/>
  <c r="A706" i="1"/>
  <c r="B706" i="1"/>
  <c r="C706" i="1"/>
  <c r="E706" i="1"/>
  <c r="F706" i="1"/>
  <c r="G706" i="1"/>
  <c r="H706" i="1"/>
  <c r="I706" i="1"/>
  <c r="J706" i="1"/>
  <c r="K706" i="1"/>
  <c r="L706" i="1"/>
  <c r="M706" i="1"/>
  <c r="N706" i="1"/>
  <c r="O706" i="1"/>
  <c r="P706" i="1"/>
  <c r="Q706" i="1"/>
  <c r="A707" i="1"/>
  <c r="B707" i="1"/>
  <c r="C707" i="1"/>
  <c r="D707" i="1"/>
  <c r="E707" i="1"/>
  <c r="F707" i="1"/>
  <c r="G707" i="1"/>
  <c r="H707" i="1"/>
  <c r="I707" i="1"/>
  <c r="J707" i="1"/>
  <c r="K707" i="1"/>
  <c r="L707" i="1"/>
  <c r="M707" i="1"/>
  <c r="N707" i="1"/>
  <c r="O707" i="1"/>
  <c r="P707" i="1"/>
  <c r="Q707" i="1"/>
  <c r="A708" i="1"/>
  <c r="B708" i="1"/>
  <c r="C708" i="1"/>
  <c r="D708" i="1"/>
  <c r="E708" i="1"/>
  <c r="F708" i="1"/>
  <c r="G708" i="1"/>
  <c r="H708" i="1"/>
  <c r="I708" i="1"/>
  <c r="J708" i="1"/>
  <c r="K708" i="1"/>
  <c r="L708" i="1"/>
  <c r="M708" i="1"/>
  <c r="N708" i="1"/>
  <c r="O708" i="1"/>
  <c r="P708" i="1"/>
  <c r="Q708" i="1"/>
  <c r="A709" i="1"/>
  <c r="B709" i="1"/>
  <c r="C709" i="1"/>
  <c r="E709" i="1"/>
  <c r="F709" i="1"/>
  <c r="G709" i="1"/>
  <c r="H709" i="1"/>
  <c r="I709" i="1"/>
  <c r="J709" i="1"/>
  <c r="K709" i="1"/>
  <c r="L709" i="1"/>
  <c r="M709" i="1"/>
  <c r="N709" i="1"/>
  <c r="O709" i="1"/>
  <c r="P709" i="1"/>
  <c r="Q709" i="1"/>
  <c r="A710" i="1"/>
  <c r="B710" i="1"/>
  <c r="C710" i="1"/>
  <c r="E710" i="1"/>
  <c r="F710" i="1"/>
  <c r="G710" i="1"/>
  <c r="H710" i="1"/>
  <c r="I710" i="1"/>
  <c r="J710" i="1"/>
  <c r="K710" i="1"/>
  <c r="L710" i="1"/>
  <c r="M710" i="1"/>
  <c r="N710" i="1"/>
  <c r="O710" i="1"/>
  <c r="P710" i="1"/>
  <c r="Q710" i="1"/>
  <c r="A711" i="1"/>
  <c r="B711" i="1"/>
  <c r="C711" i="1"/>
  <c r="D711" i="1"/>
  <c r="E711" i="1"/>
  <c r="F711" i="1"/>
  <c r="G711" i="1"/>
  <c r="H711" i="1"/>
  <c r="I711" i="1"/>
  <c r="J711" i="1"/>
  <c r="K711" i="1"/>
  <c r="L711" i="1"/>
  <c r="M711" i="1"/>
  <c r="N711" i="1"/>
  <c r="O711" i="1"/>
  <c r="P711" i="1"/>
  <c r="Q711" i="1"/>
  <c r="A712" i="1"/>
  <c r="B712" i="1"/>
  <c r="C712" i="1"/>
  <c r="D712" i="1"/>
  <c r="E712" i="1"/>
  <c r="F712" i="1"/>
  <c r="G712" i="1"/>
  <c r="H712" i="1"/>
  <c r="I712" i="1"/>
  <c r="J712" i="1"/>
  <c r="K712" i="1"/>
  <c r="L712" i="1"/>
  <c r="M712" i="1"/>
  <c r="N712" i="1"/>
  <c r="O712" i="1"/>
  <c r="P712" i="1"/>
  <c r="Q712" i="1"/>
  <c r="A713" i="1"/>
  <c r="B713" i="1"/>
  <c r="C713" i="1"/>
  <c r="D713" i="1"/>
  <c r="E713" i="1"/>
  <c r="F713" i="1"/>
  <c r="G713" i="1"/>
  <c r="H713" i="1"/>
  <c r="I713" i="1"/>
  <c r="J713" i="1"/>
  <c r="K713" i="1"/>
  <c r="L713" i="1"/>
  <c r="M713" i="1"/>
  <c r="N713" i="1"/>
  <c r="O713" i="1"/>
  <c r="P713" i="1"/>
  <c r="Q713" i="1"/>
  <c r="A714" i="1"/>
  <c r="B714" i="1"/>
  <c r="C714" i="1"/>
  <c r="E714" i="1"/>
  <c r="F714" i="1"/>
  <c r="G714" i="1"/>
  <c r="H714" i="1"/>
  <c r="I714" i="1"/>
  <c r="J714" i="1"/>
  <c r="K714" i="1"/>
  <c r="L714" i="1"/>
  <c r="M714" i="1"/>
  <c r="N714" i="1"/>
  <c r="O714" i="1"/>
  <c r="P714" i="1"/>
  <c r="Q714" i="1"/>
  <c r="A715" i="1"/>
  <c r="B715" i="1"/>
  <c r="C715" i="1"/>
  <c r="E715" i="1"/>
  <c r="F715" i="1"/>
  <c r="G715" i="1"/>
  <c r="H715" i="1"/>
  <c r="I715" i="1"/>
  <c r="J715" i="1"/>
  <c r="K715" i="1"/>
  <c r="L715" i="1"/>
  <c r="M715" i="1"/>
  <c r="N715" i="1"/>
  <c r="O715" i="1"/>
  <c r="P715" i="1"/>
  <c r="Q715" i="1"/>
  <c r="A716" i="1"/>
  <c r="B716" i="1"/>
  <c r="C716" i="1"/>
  <c r="E716" i="1"/>
  <c r="F716" i="1"/>
  <c r="G716" i="1"/>
  <c r="H716" i="1"/>
  <c r="I716" i="1"/>
  <c r="J716" i="1"/>
  <c r="K716" i="1"/>
  <c r="L716" i="1"/>
  <c r="M716" i="1"/>
  <c r="N716" i="1"/>
  <c r="O716" i="1"/>
  <c r="P716" i="1"/>
  <c r="Q716" i="1"/>
  <c r="A717" i="1"/>
  <c r="B717" i="1"/>
  <c r="C717" i="1"/>
  <c r="D717" i="1"/>
  <c r="E717" i="1"/>
  <c r="F717" i="1"/>
  <c r="G717" i="1"/>
  <c r="H717" i="1"/>
  <c r="I717" i="1"/>
  <c r="J717" i="1"/>
  <c r="K717" i="1"/>
  <c r="L717" i="1"/>
  <c r="M717" i="1"/>
  <c r="N717" i="1"/>
  <c r="O717" i="1"/>
  <c r="P717" i="1"/>
  <c r="Q717" i="1"/>
  <c r="A718" i="1"/>
  <c r="B718" i="1"/>
  <c r="C718" i="1"/>
  <c r="E718" i="1"/>
  <c r="F718" i="1"/>
  <c r="G718" i="1"/>
  <c r="H718" i="1"/>
  <c r="I718" i="1"/>
  <c r="J718" i="1"/>
  <c r="K718" i="1"/>
  <c r="L718" i="1"/>
  <c r="M718" i="1"/>
  <c r="N718" i="1"/>
  <c r="O718" i="1"/>
  <c r="P718" i="1"/>
  <c r="Q718" i="1"/>
  <c r="A719" i="1"/>
  <c r="B719" i="1"/>
  <c r="C719" i="1"/>
  <c r="E719" i="1"/>
  <c r="F719" i="1"/>
  <c r="G719" i="1"/>
  <c r="H719" i="1"/>
  <c r="I719" i="1"/>
  <c r="J719" i="1"/>
  <c r="K719" i="1"/>
  <c r="L719" i="1"/>
  <c r="M719" i="1"/>
  <c r="N719" i="1"/>
  <c r="O719" i="1"/>
  <c r="P719" i="1"/>
  <c r="Q719" i="1"/>
  <c r="A720" i="1"/>
  <c r="B720" i="1"/>
  <c r="C720" i="1"/>
  <c r="D720" i="1"/>
  <c r="E720" i="1"/>
  <c r="F720" i="1"/>
  <c r="G720" i="1"/>
  <c r="H720" i="1"/>
  <c r="I720" i="1"/>
  <c r="J720" i="1"/>
  <c r="K720" i="1"/>
  <c r="L720" i="1"/>
  <c r="M720" i="1"/>
  <c r="N720" i="1"/>
  <c r="O720" i="1"/>
  <c r="P720" i="1"/>
  <c r="Q720" i="1"/>
  <c r="A721" i="1"/>
  <c r="B721" i="1"/>
  <c r="C721" i="1"/>
  <c r="D721" i="1"/>
  <c r="E721" i="1"/>
  <c r="F721" i="1"/>
  <c r="G721" i="1"/>
  <c r="H721" i="1"/>
  <c r="I721" i="1"/>
  <c r="J721" i="1"/>
  <c r="K721" i="1"/>
  <c r="L721" i="1"/>
  <c r="M721" i="1"/>
  <c r="N721" i="1"/>
  <c r="O721" i="1"/>
  <c r="P721" i="1"/>
  <c r="Q721" i="1"/>
  <c r="A722" i="1"/>
  <c r="B722" i="1"/>
  <c r="C722" i="1"/>
  <c r="D722" i="1"/>
  <c r="E722" i="1"/>
  <c r="F722" i="1"/>
  <c r="G722" i="1"/>
  <c r="H722" i="1"/>
  <c r="I722" i="1"/>
  <c r="J722" i="1"/>
  <c r="K722" i="1"/>
  <c r="L722" i="1"/>
  <c r="M722" i="1"/>
  <c r="N722" i="1"/>
  <c r="O722" i="1"/>
  <c r="P722" i="1"/>
  <c r="Q722" i="1"/>
  <c r="A723" i="1"/>
  <c r="B723" i="1"/>
  <c r="C723" i="1"/>
  <c r="E723" i="1"/>
  <c r="F723" i="1"/>
  <c r="G723" i="1"/>
  <c r="H723" i="1"/>
  <c r="I723" i="1"/>
  <c r="J723" i="1"/>
  <c r="K723" i="1"/>
  <c r="L723" i="1"/>
  <c r="M723" i="1"/>
  <c r="N723" i="1"/>
  <c r="O723" i="1"/>
  <c r="P723" i="1"/>
  <c r="Q723" i="1"/>
  <c r="A724" i="1"/>
  <c r="B724" i="1"/>
  <c r="C724" i="1"/>
  <c r="E724" i="1"/>
  <c r="F724" i="1"/>
  <c r="G724" i="1"/>
  <c r="H724" i="1"/>
  <c r="I724" i="1"/>
  <c r="J724" i="1"/>
  <c r="K724" i="1"/>
  <c r="L724" i="1"/>
  <c r="M724" i="1"/>
  <c r="N724" i="1"/>
  <c r="O724" i="1"/>
  <c r="P724" i="1"/>
  <c r="Q724" i="1"/>
  <c r="A725" i="1"/>
  <c r="B725" i="1"/>
  <c r="C725" i="1"/>
  <c r="E725" i="1"/>
  <c r="F725" i="1"/>
  <c r="G725" i="1"/>
  <c r="H725" i="1"/>
  <c r="I725" i="1"/>
  <c r="J725" i="1"/>
  <c r="K725" i="1"/>
  <c r="L725" i="1"/>
  <c r="M725" i="1"/>
  <c r="N725" i="1"/>
  <c r="O725" i="1"/>
  <c r="P725" i="1"/>
  <c r="Q725" i="1"/>
  <c r="A726" i="1"/>
  <c r="B726" i="1"/>
  <c r="C726" i="1"/>
  <c r="E726" i="1"/>
  <c r="F726" i="1"/>
  <c r="G726" i="1"/>
  <c r="H726" i="1"/>
  <c r="I726" i="1"/>
  <c r="J726" i="1"/>
  <c r="K726" i="1"/>
  <c r="L726" i="1"/>
  <c r="M726" i="1"/>
  <c r="N726" i="1"/>
  <c r="O726" i="1"/>
  <c r="P726" i="1"/>
  <c r="Q726" i="1"/>
  <c r="A727" i="1"/>
  <c r="B727" i="1"/>
  <c r="C727" i="1"/>
  <c r="D727" i="1"/>
  <c r="E727" i="1"/>
  <c r="F727" i="1"/>
  <c r="G727" i="1"/>
  <c r="H727" i="1"/>
  <c r="I727" i="1"/>
  <c r="J727" i="1"/>
  <c r="K727" i="1"/>
  <c r="L727" i="1"/>
  <c r="M727" i="1"/>
  <c r="N727" i="1"/>
  <c r="O727" i="1"/>
  <c r="P727" i="1"/>
  <c r="Q727" i="1"/>
  <c r="A728" i="1"/>
  <c r="B728" i="1"/>
  <c r="C728" i="1"/>
  <c r="E728" i="1"/>
  <c r="F728" i="1"/>
  <c r="G728" i="1"/>
  <c r="H728" i="1"/>
  <c r="I728" i="1"/>
  <c r="J728" i="1"/>
  <c r="K728" i="1"/>
  <c r="L728" i="1"/>
  <c r="M728" i="1"/>
  <c r="N728" i="1"/>
  <c r="O728" i="1"/>
  <c r="P728" i="1"/>
  <c r="Q728" i="1"/>
  <c r="A729" i="1"/>
  <c r="B729" i="1"/>
  <c r="C729" i="1"/>
  <c r="E729" i="1"/>
  <c r="F729" i="1"/>
  <c r="G729" i="1"/>
  <c r="H729" i="1"/>
  <c r="I729" i="1"/>
  <c r="J729" i="1"/>
  <c r="K729" i="1"/>
  <c r="L729" i="1"/>
  <c r="M729" i="1"/>
  <c r="N729" i="1"/>
  <c r="O729" i="1"/>
  <c r="P729" i="1"/>
  <c r="Q729" i="1"/>
  <c r="A730" i="1"/>
  <c r="B730" i="1"/>
  <c r="C730" i="1"/>
  <c r="E730" i="1"/>
  <c r="F730" i="1"/>
  <c r="G730" i="1"/>
  <c r="H730" i="1"/>
  <c r="I730" i="1"/>
  <c r="J730" i="1"/>
  <c r="K730" i="1"/>
  <c r="L730" i="1"/>
  <c r="M730" i="1"/>
  <c r="N730" i="1"/>
  <c r="O730" i="1"/>
  <c r="P730" i="1"/>
  <c r="Q730" i="1"/>
  <c r="A731" i="1"/>
  <c r="B731" i="1"/>
  <c r="C731" i="1"/>
  <c r="D731" i="1"/>
  <c r="E731" i="1"/>
  <c r="F731" i="1"/>
  <c r="G731" i="1"/>
  <c r="H731" i="1"/>
  <c r="I731" i="1"/>
  <c r="J731" i="1"/>
  <c r="K731" i="1"/>
  <c r="L731" i="1"/>
  <c r="M731" i="1"/>
  <c r="N731" i="1"/>
  <c r="O731" i="1"/>
  <c r="P731" i="1"/>
  <c r="Q731" i="1"/>
  <c r="A732" i="1"/>
  <c r="B732" i="1"/>
  <c r="C732" i="1"/>
  <c r="D732" i="1"/>
  <c r="E732" i="1"/>
  <c r="F732" i="1"/>
  <c r="G732" i="1"/>
  <c r="H732" i="1"/>
  <c r="I732" i="1"/>
  <c r="J732" i="1"/>
  <c r="K732" i="1"/>
  <c r="L732" i="1"/>
  <c r="M732" i="1"/>
  <c r="N732" i="1"/>
  <c r="O732" i="1"/>
  <c r="P732" i="1"/>
  <c r="Q732" i="1"/>
  <c r="A733" i="1"/>
  <c r="B733" i="1"/>
  <c r="C733" i="1"/>
  <c r="E733" i="1"/>
  <c r="F733" i="1"/>
  <c r="G733" i="1"/>
  <c r="H733" i="1"/>
  <c r="I733" i="1"/>
  <c r="J733" i="1"/>
  <c r="K733" i="1"/>
  <c r="L733" i="1"/>
  <c r="M733" i="1"/>
  <c r="N733" i="1"/>
  <c r="O733" i="1"/>
  <c r="P733" i="1"/>
  <c r="Q733" i="1"/>
  <c r="A734" i="1"/>
  <c r="B734" i="1"/>
  <c r="C734" i="1"/>
  <c r="E734" i="1"/>
  <c r="F734" i="1"/>
  <c r="G734" i="1"/>
  <c r="H734" i="1"/>
  <c r="I734" i="1"/>
  <c r="J734" i="1"/>
  <c r="K734" i="1"/>
  <c r="L734" i="1"/>
  <c r="M734" i="1"/>
  <c r="N734" i="1"/>
  <c r="O734" i="1"/>
  <c r="P734" i="1"/>
  <c r="Q734" i="1"/>
  <c r="A735" i="1"/>
  <c r="B735" i="1"/>
  <c r="C735" i="1"/>
  <c r="D735" i="1"/>
  <c r="E735" i="1"/>
  <c r="F735" i="1"/>
  <c r="G735" i="1"/>
  <c r="H735" i="1"/>
  <c r="I735" i="1"/>
  <c r="J735" i="1"/>
  <c r="K735" i="1"/>
  <c r="L735" i="1"/>
  <c r="M735" i="1"/>
  <c r="N735" i="1"/>
  <c r="O735" i="1"/>
  <c r="P735" i="1"/>
  <c r="Q735" i="1"/>
  <c r="A736" i="1"/>
  <c r="B736" i="1"/>
  <c r="C736" i="1"/>
  <c r="E736" i="1"/>
  <c r="F736" i="1"/>
  <c r="G736" i="1"/>
  <c r="H736" i="1"/>
  <c r="I736" i="1"/>
  <c r="J736" i="1"/>
  <c r="K736" i="1"/>
  <c r="L736" i="1"/>
  <c r="M736" i="1"/>
  <c r="N736" i="1"/>
  <c r="O736" i="1"/>
  <c r="P736" i="1"/>
  <c r="Q736" i="1"/>
  <c r="A737" i="1"/>
  <c r="B737" i="1"/>
  <c r="C737" i="1"/>
  <c r="D737" i="1"/>
  <c r="E737" i="1"/>
  <c r="F737" i="1"/>
  <c r="G737" i="1"/>
  <c r="H737" i="1"/>
  <c r="I737" i="1"/>
  <c r="J737" i="1"/>
  <c r="K737" i="1"/>
  <c r="L737" i="1"/>
  <c r="M737" i="1"/>
  <c r="N737" i="1"/>
  <c r="O737" i="1"/>
  <c r="P737" i="1"/>
  <c r="Q737" i="1"/>
  <c r="A738" i="1"/>
  <c r="B738" i="1"/>
  <c r="C738" i="1"/>
  <c r="D738" i="1"/>
  <c r="E738" i="1"/>
  <c r="F738" i="1"/>
  <c r="G738" i="1"/>
  <c r="H738" i="1"/>
  <c r="I738" i="1"/>
  <c r="J738" i="1"/>
  <c r="K738" i="1"/>
  <c r="L738" i="1"/>
  <c r="M738" i="1"/>
  <c r="N738" i="1"/>
  <c r="O738" i="1"/>
  <c r="P738" i="1"/>
  <c r="Q738" i="1"/>
  <c r="A739" i="1"/>
  <c r="B739" i="1"/>
  <c r="C739" i="1"/>
  <c r="D739" i="1"/>
  <c r="E739" i="1"/>
  <c r="F739" i="1"/>
  <c r="G739" i="1"/>
  <c r="H739" i="1"/>
  <c r="I739" i="1"/>
  <c r="J739" i="1"/>
  <c r="K739" i="1"/>
  <c r="L739" i="1"/>
  <c r="M739" i="1"/>
  <c r="N739" i="1"/>
  <c r="O739" i="1"/>
  <c r="P739" i="1"/>
  <c r="Q739" i="1"/>
  <c r="A740" i="1"/>
  <c r="B740" i="1"/>
  <c r="C740" i="1"/>
  <c r="D740" i="1"/>
  <c r="E740" i="1"/>
  <c r="F740" i="1"/>
  <c r="G740" i="1"/>
  <c r="H740" i="1"/>
  <c r="I740" i="1"/>
  <c r="J740" i="1"/>
  <c r="K740" i="1"/>
  <c r="L740" i="1"/>
  <c r="M740" i="1"/>
  <c r="N740" i="1"/>
  <c r="O740" i="1"/>
  <c r="P740" i="1"/>
  <c r="Q740" i="1"/>
  <c r="A741" i="1"/>
  <c r="B741" i="1"/>
  <c r="C741" i="1"/>
  <c r="E741" i="1"/>
  <c r="F741" i="1"/>
  <c r="G741" i="1"/>
  <c r="H741" i="1"/>
  <c r="I741" i="1"/>
  <c r="J741" i="1"/>
  <c r="K741" i="1"/>
  <c r="L741" i="1"/>
  <c r="M741" i="1"/>
  <c r="N741" i="1"/>
  <c r="O741" i="1"/>
  <c r="P741" i="1"/>
  <c r="Q741" i="1"/>
  <c r="A742" i="1"/>
  <c r="B742" i="1"/>
  <c r="C742" i="1"/>
  <c r="D742" i="1"/>
  <c r="E742" i="1"/>
  <c r="F742" i="1"/>
  <c r="G742" i="1"/>
  <c r="H742" i="1"/>
  <c r="I742" i="1"/>
  <c r="J742" i="1"/>
  <c r="K742" i="1"/>
  <c r="L742" i="1"/>
  <c r="M742" i="1"/>
  <c r="N742" i="1"/>
  <c r="O742" i="1"/>
  <c r="P742" i="1"/>
  <c r="Q742" i="1"/>
  <c r="A743" i="1"/>
  <c r="B743" i="1"/>
  <c r="C743" i="1"/>
  <c r="E743" i="1"/>
  <c r="F743" i="1"/>
  <c r="G743" i="1"/>
  <c r="H743" i="1"/>
  <c r="I743" i="1"/>
  <c r="J743" i="1"/>
  <c r="K743" i="1"/>
  <c r="L743" i="1"/>
  <c r="M743" i="1"/>
  <c r="N743" i="1"/>
  <c r="O743" i="1"/>
  <c r="P743" i="1"/>
  <c r="Q743" i="1"/>
  <c r="A744" i="1"/>
  <c r="B744" i="1"/>
  <c r="C744" i="1"/>
  <c r="E744" i="1"/>
  <c r="F744" i="1"/>
  <c r="G744" i="1"/>
  <c r="H744" i="1"/>
  <c r="I744" i="1"/>
  <c r="J744" i="1"/>
  <c r="K744" i="1"/>
  <c r="L744" i="1"/>
  <c r="M744" i="1"/>
  <c r="N744" i="1"/>
  <c r="O744" i="1"/>
  <c r="P744" i="1"/>
  <c r="Q744" i="1"/>
  <c r="A745" i="1"/>
  <c r="B745" i="1"/>
  <c r="C745" i="1"/>
  <c r="D745" i="1"/>
  <c r="E745" i="1"/>
  <c r="F745" i="1"/>
  <c r="G745" i="1"/>
  <c r="H745" i="1"/>
  <c r="I745" i="1"/>
  <c r="J745" i="1"/>
  <c r="K745" i="1"/>
  <c r="L745" i="1"/>
  <c r="M745" i="1"/>
  <c r="N745" i="1"/>
  <c r="O745" i="1"/>
  <c r="P745" i="1"/>
  <c r="Q745" i="1"/>
  <c r="A746" i="1"/>
  <c r="B746" i="1"/>
  <c r="C746" i="1"/>
  <c r="D746" i="1"/>
  <c r="E746" i="1"/>
  <c r="F746" i="1"/>
  <c r="G746" i="1"/>
  <c r="H746" i="1"/>
  <c r="I746" i="1"/>
  <c r="J746" i="1"/>
  <c r="K746" i="1"/>
  <c r="L746" i="1"/>
  <c r="M746" i="1"/>
  <c r="N746" i="1"/>
  <c r="O746" i="1"/>
  <c r="P746" i="1"/>
  <c r="Q746" i="1"/>
  <c r="A747" i="1"/>
  <c r="B747" i="1"/>
  <c r="C747" i="1"/>
  <c r="D747" i="1"/>
  <c r="E747" i="1"/>
  <c r="F747" i="1"/>
  <c r="G747" i="1"/>
  <c r="H747" i="1"/>
  <c r="I747" i="1"/>
  <c r="J747" i="1"/>
  <c r="K747" i="1"/>
  <c r="L747" i="1"/>
  <c r="M747" i="1"/>
  <c r="N747" i="1"/>
  <c r="O747" i="1"/>
  <c r="P747" i="1"/>
  <c r="Q747" i="1"/>
  <c r="A748" i="1"/>
  <c r="B748" i="1"/>
  <c r="C748" i="1"/>
  <c r="E748" i="1"/>
  <c r="F748" i="1"/>
  <c r="G748" i="1"/>
  <c r="H748" i="1"/>
  <c r="I748" i="1"/>
  <c r="J748" i="1"/>
  <c r="K748" i="1"/>
  <c r="L748" i="1"/>
  <c r="M748" i="1"/>
  <c r="N748" i="1"/>
  <c r="O748" i="1"/>
  <c r="P748" i="1"/>
  <c r="Q748" i="1"/>
  <c r="A749" i="1"/>
  <c r="B749" i="1"/>
  <c r="C749" i="1"/>
  <c r="D749" i="1"/>
  <c r="E749" i="1"/>
  <c r="F749" i="1"/>
  <c r="G749" i="1"/>
  <c r="H749" i="1"/>
  <c r="I749" i="1"/>
  <c r="J749" i="1"/>
  <c r="K749" i="1"/>
  <c r="L749" i="1"/>
  <c r="M749" i="1"/>
  <c r="N749" i="1"/>
  <c r="O749" i="1"/>
  <c r="P749" i="1"/>
  <c r="Q749" i="1"/>
  <c r="A750" i="1"/>
  <c r="B750" i="1"/>
  <c r="C750" i="1"/>
  <c r="E750" i="1"/>
  <c r="F750" i="1"/>
  <c r="G750" i="1"/>
  <c r="H750" i="1"/>
  <c r="I750" i="1"/>
  <c r="J750" i="1"/>
  <c r="K750" i="1"/>
  <c r="L750" i="1"/>
  <c r="M750" i="1"/>
  <c r="N750" i="1"/>
  <c r="O750" i="1"/>
  <c r="P750" i="1"/>
  <c r="Q750" i="1"/>
  <c r="A751" i="1"/>
  <c r="B751" i="1"/>
  <c r="C751" i="1"/>
  <c r="D751" i="1"/>
  <c r="E751" i="1"/>
  <c r="F751" i="1"/>
  <c r="G751" i="1"/>
  <c r="H751" i="1"/>
  <c r="I751" i="1"/>
  <c r="J751" i="1"/>
  <c r="K751" i="1"/>
  <c r="L751" i="1"/>
  <c r="M751" i="1"/>
  <c r="N751" i="1"/>
  <c r="O751" i="1"/>
  <c r="P751" i="1"/>
  <c r="Q751" i="1"/>
  <c r="A752" i="1"/>
  <c r="B752" i="1"/>
  <c r="C752" i="1"/>
  <c r="D752" i="1"/>
  <c r="E752" i="1"/>
  <c r="F752" i="1"/>
  <c r="G752" i="1"/>
  <c r="H752" i="1"/>
  <c r="I752" i="1"/>
  <c r="J752" i="1"/>
  <c r="K752" i="1"/>
  <c r="L752" i="1"/>
  <c r="M752" i="1"/>
  <c r="N752" i="1"/>
  <c r="O752" i="1"/>
  <c r="P752" i="1"/>
  <c r="Q752" i="1"/>
  <c r="A753" i="1"/>
  <c r="B753" i="1"/>
  <c r="C753" i="1"/>
  <c r="D753" i="1"/>
  <c r="E753" i="1"/>
  <c r="F753" i="1"/>
  <c r="G753" i="1"/>
  <c r="H753" i="1"/>
  <c r="I753" i="1"/>
  <c r="J753" i="1"/>
  <c r="K753" i="1"/>
  <c r="L753" i="1"/>
  <c r="M753" i="1"/>
  <c r="N753" i="1"/>
  <c r="O753" i="1"/>
  <c r="P753" i="1"/>
  <c r="Q753" i="1"/>
  <c r="A754" i="1"/>
  <c r="B754" i="1"/>
  <c r="C754" i="1"/>
  <c r="D754" i="1"/>
  <c r="E754" i="1"/>
  <c r="F754" i="1"/>
  <c r="G754" i="1"/>
  <c r="H754" i="1"/>
  <c r="I754" i="1"/>
  <c r="J754" i="1"/>
  <c r="K754" i="1"/>
  <c r="L754" i="1"/>
  <c r="M754" i="1"/>
  <c r="N754" i="1"/>
  <c r="O754" i="1"/>
  <c r="P754" i="1"/>
  <c r="Q754" i="1"/>
  <c r="A755" i="1"/>
  <c r="B755" i="1"/>
  <c r="C755" i="1"/>
  <c r="D755" i="1"/>
  <c r="E755" i="1"/>
  <c r="F755" i="1"/>
  <c r="G755" i="1"/>
  <c r="H755" i="1"/>
  <c r="I755" i="1"/>
  <c r="J755" i="1"/>
  <c r="K755" i="1"/>
  <c r="L755" i="1"/>
  <c r="M755" i="1"/>
  <c r="N755" i="1"/>
  <c r="O755" i="1"/>
  <c r="P755" i="1"/>
  <c r="Q755" i="1"/>
  <c r="A756" i="1"/>
  <c r="B756" i="1"/>
  <c r="C756" i="1"/>
  <c r="D756" i="1"/>
  <c r="E756" i="1"/>
  <c r="F756" i="1"/>
  <c r="G756" i="1"/>
  <c r="H756" i="1"/>
  <c r="I756" i="1"/>
  <c r="J756" i="1"/>
  <c r="K756" i="1"/>
  <c r="L756" i="1"/>
  <c r="M756" i="1"/>
  <c r="N756" i="1"/>
  <c r="O756" i="1"/>
  <c r="P756" i="1"/>
  <c r="Q756" i="1"/>
  <c r="A757" i="1"/>
  <c r="B757" i="1"/>
  <c r="C757" i="1"/>
  <c r="D757" i="1"/>
  <c r="E757" i="1"/>
  <c r="F757" i="1"/>
  <c r="G757" i="1"/>
  <c r="H757" i="1"/>
  <c r="I757" i="1"/>
  <c r="J757" i="1"/>
  <c r="K757" i="1"/>
  <c r="L757" i="1"/>
  <c r="M757" i="1"/>
  <c r="N757" i="1"/>
  <c r="O757" i="1"/>
  <c r="P757" i="1"/>
  <c r="Q757" i="1"/>
  <c r="A758" i="1"/>
  <c r="B758" i="1"/>
  <c r="C758" i="1"/>
  <c r="D758" i="1"/>
  <c r="E758" i="1"/>
  <c r="F758" i="1"/>
  <c r="G758" i="1"/>
  <c r="H758" i="1"/>
  <c r="I758" i="1"/>
  <c r="J758" i="1"/>
  <c r="K758" i="1"/>
  <c r="L758" i="1"/>
  <c r="M758" i="1"/>
  <c r="N758" i="1"/>
  <c r="O758" i="1"/>
  <c r="P758" i="1"/>
  <c r="Q758" i="1"/>
  <c r="A759" i="1"/>
  <c r="B759" i="1"/>
  <c r="C759" i="1"/>
  <c r="D759" i="1"/>
  <c r="E759" i="1"/>
  <c r="F759" i="1"/>
  <c r="G759" i="1"/>
  <c r="H759" i="1"/>
  <c r="I759" i="1"/>
  <c r="J759" i="1"/>
  <c r="K759" i="1"/>
  <c r="L759" i="1"/>
  <c r="M759" i="1"/>
  <c r="N759" i="1"/>
  <c r="O759" i="1"/>
  <c r="P759" i="1"/>
  <c r="Q759" i="1"/>
  <c r="A760" i="1"/>
  <c r="B760" i="1"/>
  <c r="C760" i="1"/>
  <c r="D760" i="1"/>
  <c r="E760" i="1"/>
  <c r="F760" i="1"/>
  <c r="G760" i="1"/>
  <c r="H760" i="1"/>
  <c r="I760" i="1"/>
  <c r="J760" i="1"/>
  <c r="K760" i="1"/>
  <c r="L760" i="1"/>
  <c r="M760" i="1"/>
  <c r="N760" i="1"/>
  <c r="O760" i="1"/>
  <c r="P760" i="1"/>
  <c r="Q760" i="1"/>
  <c r="A761" i="1"/>
  <c r="B761" i="1"/>
  <c r="C761" i="1"/>
  <c r="D761" i="1"/>
  <c r="E761" i="1"/>
  <c r="F761" i="1"/>
  <c r="G761" i="1"/>
  <c r="H761" i="1"/>
  <c r="I761" i="1"/>
  <c r="J761" i="1"/>
  <c r="K761" i="1"/>
  <c r="L761" i="1"/>
  <c r="M761" i="1"/>
  <c r="N761" i="1"/>
  <c r="O761" i="1"/>
  <c r="P761" i="1"/>
  <c r="Q761" i="1"/>
  <c r="A762" i="1"/>
  <c r="B762" i="1"/>
  <c r="C762" i="1"/>
  <c r="E762" i="1"/>
  <c r="F762" i="1"/>
  <c r="G762" i="1"/>
  <c r="H762" i="1"/>
  <c r="I762" i="1"/>
  <c r="J762" i="1"/>
  <c r="K762" i="1"/>
  <c r="L762" i="1"/>
  <c r="M762" i="1"/>
  <c r="N762" i="1"/>
  <c r="O762" i="1"/>
  <c r="P762" i="1"/>
  <c r="Q762" i="1"/>
  <c r="A763" i="1"/>
  <c r="B763" i="1"/>
  <c r="C763" i="1"/>
  <c r="D763" i="1"/>
  <c r="E763" i="1"/>
  <c r="F763" i="1"/>
  <c r="G763" i="1"/>
  <c r="H763" i="1"/>
  <c r="I763" i="1"/>
  <c r="J763" i="1"/>
  <c r="K763" i="1"/>
  <c r="L763" i="1"/>
  <c r="M763" i="1"/>
  <c r="N763" i="1"/>
  <c r="O763" i="1"/>
  <c r="P763" i="1"/>
  <c r="Q763" i="1"/>
  <c r="A764" i="1"/>
  <c r="B764" i="1"/>
  <c r="C764" i="1"/>
  <c r="E764" i="1"/>
  <c r="F764" i="1"/>
  <c r="G764" i="1"/>
  <c r="H764" i="1"/>
  <c r="I764" i="1"/>
  <c r="J764" i="1"/>
  <c r="K764" i="1"/>
  <c r="L764" i="1"/>
  <c r="M764" i="1"/>
  <c r="N764" i="1"/>
  <c r="O764" i="1"/>
  <c r="P764" i="1"/>
  <c r="Q764" i="1"/>
  <c r="A765" i="1"/>
  <c r="B765" i="1"/>
  <c r="C765" i="1"/>
  <c r="E765" i="1"/>
  <c r="F765" i="1"/>
  <c r="G765" i="1"/>
  <c r="H765" i="1"/>
  <c r="I765" i="1"/>
  <c r="J765" i="1"/>
  <c r="K765" i="1"/>
  <c r="L765" i="1"/>
  <c r="M765" i="1"/>
  <c r="N765" i="1"/>
  <c r="O765" i="1"/>
  <c r="P765" i="1"/>
  <c r="Q765" i="1"/>
  <c r="A766" i="1"/>
  <c r="B766" i="1"/>
  <c r="C766" i="1"/>
  <c r="E766" i="1"/>
  <c r="F766" i="1"/>
  <c r="G766" i="1"/>
  <c r="H766" i="1"/>
  <c r="I766" i="1"/>
  <c r="J766" i="1"/>
  <c r="K766" i="1"/>
  <c r="L766" i="1"/>
  <c r="M766" i="1"/>
  <c r="N766" i="1"/>
  <c r="O766" i="1"/>
  <c r="P766" i="1"/>
  <c r="Q766" i="1"/>
  <c r="A767" i="1"/>
  <c r="B767" i="1"/>
  <c r="C767" i="1"/>
  <c r="E767" i="1"/>
  <c r="F767" i="1"/>
  <c r="G767" i="1"/>
  <c r="H767" i="1"/>
  <c r="I767" i="1"/>
  <c r="J767" i="1"/>
  <c r="K767" i="1"/>
  <c r="L767" i="1"/>
  <c r="M767" i="1"/>
  <c r="N767" i="1"/>
  <c r="O767" i="1"/>
  <c r="P767" i="1"/>
  <c r="Q767" i="1"/>
  <c r="A768" i="1"/>
  <c r="B768" i="1"/>
  <c r="C768" i="1"/>
  <c r="D768" i="1"/>
  <c r="E768" i="1"/>
  <c r="F768" i="1"/>
  <c r="G768" i="1"/>
  <c r="H768" i="1"/>
  <c r="I768" i="1"/>
  <c r="J768" i="1"/>
  <c r="K768" i="1"/>
  <c r="L768" i="1"/>
  <c r="M768" i="1"/>
  <c r="N768" i="1"/>
  <c r="O768" i="1"/>
  <c r="P768" i="1"/>
  <c r="Q768" i="1"/>
  <c r="A769" i="1"/>
  <c r="B769" i="1"/>
  <c r="C769" i="1"/>
  <c r="E769" i="1"/>
  <c r="F769" i="1"/>
  <c r="G769" i="1"/>
  <c r="H769" i="1"/>
  <c r="I769" i="1"/>
  <c r="J769" i="1"/>
  <c r="K769" i="1"/>
  <c r="L769" i="1"/>
  <c r="M769" i="1"/>
  <c r="N769" i="1"/>
  <c r="O769" i="1"/>
  <c r="P769" i="1"/>
  <c r="Q769" i="1"/>
  <c r="A770" i="1"/>
  <c r="B770" i="1"/>
  <c r="C770" i="1"/>
  <c r="E770" i="1"/>
  <c r="F770" i="1"/>
  <c r="G770" i="1"/>
  <c r="H770" i="1"/>
  <c r="I770" i="1"/>
  <c r="J770" i="1"/>
  <c r="K770" i="1"/>
  <c r="L770" i="1"/>
  <c r="M770" i="1"/>
  <c r="N770" i="1"/>
  <c r="O770" i="1"/>
  <c r="P770" i="1"/>
  <c r="Q770" i="1"/>
  <c r="A771" i="1"/>
  <c r="B771" i="1"/>
  <c r="C771" i="1"/>
  <c r="E771" i="1"/>
  <c r="F771" i="1"/>
  <c r="G771" i="1"/>
  <c r="H771" i="1"/>
  <c r="I771" i="1"/>
  <c r="J771" i="1"/>
  <c r="K771" i="1"/>
  <c r="L771" i="1"/>
  <c r="M771" i="1"/>
  <c r="N771" i="1"/>
  <c r="O771" i="1"/>
  <c r="P771" i="1"/>
  <c r="Q771" i="1"/>
  <c r="A772" i="1"/>
  <c r="B772" i="1"/>
  <c r="C772" i="1"/>
  <c r="D772" i="1"/>
  <c r="E772" i="1"/>
  <c r="F772" i="1"/>
  <c r="G772" i="1"/>
  <c r="H772" i="1"/>
  <c r="I772" i="1"/>
  <c r="J772" i="1"/>
  <c r="K772" i="1"/>
  <c r="L772" i="1"/>
  <c r="M772" i="1"/>
  <c r="N772" i="1"/>
  <c r="O772" i="1"/>
  <c r="P772" i="1"/>
  <c r="Q772" i="1"/>
  <c r="A773" i="1"/>
  <c r="B773" i="1"/>
  <c r="C773" i="1"/>
  <c r="D773" i="1"/>
  <c r="E773" i="1"/>
  <c r="F773" i="1"/>
  <c r="G773" i="1"/>
  <c r="H773" i="1"/>
  <c r="I773" i="1"/>
  <c r="J773" i="1"/>
  <c r="K773" i="1"/>
  <c r="L773" i="1"/>
  <c r="M773" i="1"/>
  <c r="N773" i="1"/>
  <c r="O773" i="1"/>
  <c r="P773" i="1"/>
  <c r="Q773" i="1"/>
  <c r="A774" i="1"/>
  <c r="B774" i="1"/>
  <c r="C774" i="1"/>
  <c r="E774" i="1"/>
  <c r="F774" i="1"/>
  <c r="G774" i="1"/>
  <c r="H774" i="1"/>
  <c r="I774" i="1"/>
  <c r="J774" i="1"/>
  <c r="K774" i="1"/>
  <c r="L774" i="1"/>
  <c r="M774" i="1"/>
  <c r="N774" i="1"/>
  <c r="O774" i="1"/>
  <c r="P774" i="1"/>
  <c r="Q774" i="1"/>
  <c r="A775" i="1"/>
  <c r="B775" i="1"/>
  <c r="C775" i="1"/>
  <c r="D775" i="1"/>
  <c r="E775" i="1"/>
  <c r="F775" i="1"/>
  <c r="G775" i="1"/>
  <c r="H775" i="1"/>
  <c r="I775" i="1"/>
  <c r="J775" i="1"/>
  <c r="K775" i="1"/>
  <c r="L775" i="1"/>
  <c r="M775" i="1"/>
  <c r="N775" i="1"/>
  <c r="O775" i="1"/>
  <c r="P775" i="1"/>
  <c r="Q775" i="1"/>
  <c r="A776" i="1"/>
  <c r="B776" i="1"/>
  <c r="C776" i="1"/>
  <c r="D776" i="1"/>
  <c r="E776" i="1"/>
  <c r="F776" i="1"/>
  <c r="G776" i="1"/>
  <c r="H776" i="1"/>
  <c r="I776" i="1"/>
  <c r="J776" i="1"/>
  <c r="K776" i="1"/>
  <c r="L776" i="1"/>
  <c r="M776" i="1"/>
  <c r="N776" i="1"/>
  <c r="O776" i="1"/>
  <c r="P776" i="1"/>
  <c r="Q776" i="1"/>
  <c r="A777" i="1"/>
  <c r="B777" i="1"/>
  <c r="C777" i="1"/>
  <c r="E777" i="1"/>
  <c r="F777" i="1"/>
  <c r="G777" i="1"/>
  <c r="H777" i="1"/>
  <c r="I777" i="1"/>
  <c r="J777" i="1"/>
  <c r="K777" i="1"/>
  <c r="L777" i="1"/>
  <c r="M777" i="1"/>
  <c r="N777" i="1"/>
  <c r="O777" i="1"/>
  <c r="P777" i="1"/>
  <c r="Q777" i="1"/>
  <c r="A778" i="1"/>
  <c r="B778" i="1"/>
  <c r="C778" i="1"/>
  <c r="E778" i="1"/>
  <c r="F778" i="1"/>
  <c r="G778" i="1"/>
  <c r="H778" i="1"/>
  <c r="I778" i="1"/>
  <c r="J778" i="1"/>
  <c r="K778" i="1"/>
  <c r="L778" i="1"/>
  <c r="M778" i="1"/>
  <c r="N778" i="1"/>
  <c r="O778" i="1"/>
  <c r="P778" i="1"/>
  <c r="Q778" i="1"/>
  <c r="A779" i="1"/>
  <c r="B779" i="1"/>
  <c r="C779" i="1"/>
  <c r="E779" i="1"/>
  <c r="F779" i="1"/>
  <c r="G779" i="1"/>
  <c r="H779" i="1"/>
  <c r="I779" i="1"/>
  <c r="J779" i="1"/>
  <c r="K779" i="1"/>
  <c r="L779" i="1"/>
  <c r="M779" i="1"/>
  <c r="N779" i="1"/>
  <c r="O779" i="1"/>
  <c r="P779" i="1"/>
  <c r="Q779" i="1"/>
  <c r="A780" i="1"/>
  <c r="B780" i="1"/>
  <c r="C780" i="1"/>
  <c r="E780" i="1"/>
  <c r="F780" i="1"/>
  <c r="G780" i="1"/>
  <c r="H780" i="1"/>
  <c r="I780" i="1"/>
  <c r="J780" i="1"/>
  <c r="K780" i="1"/>
  <c r="L780" i="1"/>
  <c r="M780" i="1"/>
  <c r="N780" i="1"/>
  <c r="O780" i="1"/>
  <c r="P780" i="1"/>
  <c r="Q780" i="1"/>
  <c r="A781" i="1"/>
  <c r="B781" i="1"/>
  <c r="C781" i="1"/>
  <c r="E781" i="1"/>
  <c r="F781" i="1"/>
  <c r="G781" i="1"/>
  <c r="H781" i="1"/>
  <c r="I781" i="1"/>
  <c r="J781" i="1"/>
  <c r="K781" i="1"/>
  <c r="L781" i="1"/>
  <c r="M781" i="1"/>
  <c r="N781" i="1"/>
  <c r="O781" i="1"/>
  <c r="P781" i="1"/>
  <c r="Q781" i="1"/>
  <c r="A782" i="1"/>
  <c r="B782" i="1"/>
  <c r="C782" i="1"/>
  <c r="E782" i="1"/>
  <c r="F782" i="1"/>
  <c r="G782" i="1"/>
  <c r="H782" i="1"/>
  <c r="I782" i="1"/>
  <c r="J782" i="1"/>
  <c r="K782" i="1"/>
  <c r="L782" i="1"/>
  <c r="M782" i="1"/>
  <c r="N782" i="1"/>
  <c r="O782" i="1"/>
  <c r="P782" i="1"/>
  <c r="Q782" i="1"/>
  <c r="A783" i="1"/>
  <c r="B783" i="1"/>
  <c r="C783" i="1"/>
  <c r="E783" i="1"/>
  <c r="F783" i="1"/>
  <c r="G783" i="1"/>
  <c r="H783" i="1"/>
  <c r="I783" i="1"/>
  <c r="J783" i="1"/>
  <c r="K783" i="1"/>
  <c r="L783" i="1"/>
  <c r="M783" i="1"/>
  <c r="N783" i="1"/>
  <c r="O783" i="1"/>
  <c r="P783" i="1"/>
  <c r="Q783" i="1"/>
  <c r="A784" i="1"/>
  <c r="B784" i="1"/>
  <c r="C784" i="1"/>
  <c r="E784" i="1"/>
  <c r="F784" i="1"/>
  <c r="G784" i="1"/>
  <c r="H784" i="1"/>
  <c r="I784" i="1"/>
  <c r="J784" i="1"/>
  <c r="K784" i="1"/>
  <c r="L784" i="1"/>
  <c r="M784" i="1"/>
  <c r="N784" i="1"/>
  <c r="O784" i="1"/>
  <c r="P784" i="1"/>
  <c r="Q784" i="1"/>
  <c r="A785" i="1"/>
  <c r="B785" i="1"/>
  <c r="C785" i="1"/>
  <c r="D785" i="1"/>
  <c r="E785" i="1"/>
  <c r="F785" i="1"/>
  <c r="G785" i="1"/>
  <c r="H785" i="1"/>
  <c r="I785" i="1"/>
  <c r="J785" i="1"/>
  <c r="K785" i="1"/>
  <c r="L785" i="1"/>
  <c r="M785" i="1"/>
  <c r="N785" i="1"/>
  <c r="O785" i="1"/>
  <c r="P785" i="1"/>
  <c r="Q785" i="1"/>
  <c r="A786" i="1"/>
  <c r="B786" i="1"/>
  <c r="C786" i="1"/>
  <c r="E786" i="1"/>
  <c r="F786" i="1"/>
  <c r="G786" i="1"/>
  <c r="H786" i="1"/>
  <c r="I786" i="1"/>
  <c r="J786" i="1"/>
  <c r="K786" i="1"/>
  <c r="L786" i="1"/>
  <c r="M786" i="1"/>
  <c r="N786" i="1"/>
  <c r="O786" i="1"/>
  <c r="P786" i="1"/>
  <c r="Q786" i="1"/>
  <c r="A787" i="1"/>
  <c r="B787" i="1"/>
  <c r="C787" i="1"/>
  <c r="E787" i="1"/>
  <c r="F787" i="1"/>
  <c r="G787" i="1"/>
  <c r="H787" i="1"/>
  <c r="I787" i="1"/>
  <c r="J787" i="1"/>
  <c r="K787" i="1"/>
  <c r="L787" i="1"/>
  <c r="M787" i="1"/>
  <c r="N787" i="1"/>
  <c r="O787" i="1"/>
  <c r="P787" i="1"/>
  <c r="Q787" i="1"/>
  <c r="A788" i="1"/>
  <c r="B788" i="1"/>
  <c r="C788" i="1"/>
  <c r="E788" i="1"/>
  <c r="F788" i="1"/>
  <c r="G788" i="1"/>
  <c r="H788" i="1"/>
  <c r="I788" i="1"/>
  <c r="J788" i="1"/>
  <c r="K788" i="1"/>
  <c r="L788" i="1"/>
  <c r="M788" i="1"/>
  <c r="N788" i="1"/>
  <c r="O788" i="1"/>
  <c r="P788" i="1"/>
  <c r="Q788" i="1"/>
  <c r="A789" i="1"/>
  <c r="B789" i="1"/>
  <c r="C789" i="1"/>
  <c r="D789" i="1"/>
  <c r="E789" i="1"/>
  <c r="F789" i="1"/>
  <c r="G789" i="1"/>
  <c r="H789" i="1"/>
  <c r="I789" i="1"/>
  <c r="J789" i="1"/>
  <c r="K789" i="1"/>
  <c r="L789" i="1"/>
  <c r="M789" i="1"/>
  <c r="N789" i="1"/>
  <c r="O789" i="1"/>
  <c r="P789" i="1"/>
  <c r="Q789" i="1"/>
  <c r="A790" i="1"/>
  <c r="B790" i="1"/>
  <c r="C790" i="1"/>
  <c r="D790" i="1"/>
  <c r="E790" i="1"/>
  <c r="F790" i="1"/>
  <c r="G790" i="1"/>
  <c r="H790" i="1"/>
  <c r="I790" i="1"/>
  <c r="J790" i="1"/>
  <c r="K790" i="1"/>
  <c r="L790" i="1"/>
  <c r="M790" i="1"/>
  <c r="N790" i="1"/>
  <c r="O790" i="1"/>
  <c r="P790" i="1"/>
  <c r="Q790" i="1"/>
  <c r="A791" i="1"/>
  <c r="B791" i="1"/>
  <c r="C791" i="1"/>
  <c r="D791" i="1"/>
  <c r="E791" i="1"/>
  <c r="F791" i="1"/>
  <c r="G791" i="1"/>
  <c r="H791" i="1"/>
  <c r="I791" i="1"/>
  <c r="J791" i="1"/>
  <c r="K791" i="1"/>
  <c r="L791" i="1"/>
  <c r="M791" i="1"/>
  <c r="N791" i="1"/>
  <c r="O791" i="1"/>
  <c r="P791" i="1"/>
  <c r="Q791" i="1"/>
  <c r="A792" i="1"/>
  <c r="B792" i="1"/>
  <c r="C792" i="1"/>
  <c r="D792" i="1"/>
  <c r="E792" i="1"/>
  <c r="F792" i="1"/>
  <c r="G792" i="1"/>
  <c r="H792" i="1"/>
  <c r="I792" i="1"/>
  <c r="J792" i="1"/>
  <c r="K792" i="1"/>
  <c r="L792" i="1"/>
  <c r="M792" i="1"/>
  <c r="N792" i="1"/>
  <c r="O792" i="1"/>
  <c r="P792" i="1"/>
  <c r="Q792" i="1"/>
  <c r="A793" i="1"/>
  <c r="B793" i="1"/>
  <c r="C793" i="1"/>
  <c r="E793" i="1"/>
  <c r="F793" i="1"/>
  <c r="G793" i="1"/>
  <c r="H793" i="1"/>
  <c r="I793" i="1"/>
  <c r="J793" i="1"/>
  <c r="K793" i="1"/>
  <c r="L793" i="1"/>
  <c r="M793" i="1"/>
  <c r="N793" i="1"/>
  <c r="O793" i="1"/>
  <c r="P793" i="1"/>
  <c r="Q793" i="1"/>
  <c r="A794" i="1"/>
  <c r="B794" i="1"/>
  <c r="C794" i="1"/>
  <c r="D794" i="1"/>
  <c r="E794" i="1"/>
  <c r="F794" i="1"/>
  <c r="G794" i="1"/>
  <c r="H794" i="1"/>
  <c r="I794" i="1"/>
  <c r="J794" i="1"/>
  <c r="K794" i="1"/>
  <c r="L794" i="1"/>
  <c r="M794" i="1"/>
  <c r="N794" i="1"/>
  <c r="O794" i="1"/>
  <c r="P794" i="1"/>
  <c r="Q794" i="1"/>
  <c r="A795" i="1"/>
  <c r="B795" i="1"/>
  <c r="C795" i="1"/>
  <c r="D795" i="1"/>
  <c r="E795" i="1"/>
  <c r="F795" i="1"/>
  <c r="G795" i="1"/>
  <c r="H795" i="1"/>
  <c r="I795" i="1"/>
  <c r="J795" i="1"/>
  <c r="K795" i="1"/>
  <c r="L795" i="1"/>
  <c r="M795" i="1"/>
  <c r="N795" i="1"/>
  <c r="O795" i="1"/>
  <c r="P795" i="1"/>
  <c r="Q795" i="1"/>
  <c r="A796" i="1"/>
  <c r="B796" i="1"/>
  <c r="C796" i="1"/>
  <c r="D796" i="1"/>
  <c r="E796" i="1"/>
  <c r="F796" i="1"/>
  <c r="G796" i="1"/>
  <c r="H796" i="1"/>
  <c r="I796" i="1"/>
  <c r="J796" i="1"/>
  <c r="K796" i="1"/>
  <c r="L796" i="1"/>
  <c r="M796" i="1"/>
  <c r="N796" i="1"/>
  <c r="O796" i="1"/>
  <c r="P796" i="1"/>
  <c r="Q796" i="1"/>
  <c r="A797" i="1"/>
  <c r="B797" i="1"/>
  <c r="C797" i="1"/>
  <c r="D797" i="1"/>
  <c r="E797" i="1"/>
  <c r="F797" i="1"/>
  <c r="G797" i="1"/>
  <c r="H797" i="1"/>
  <c r="I797" i="1"/>
  <c r="J797" i="1"/>
  <c r="K797" i="1"/>
  <c r="L797" i="1"/>
  <c r="M797" i="1"/>
  <c r="N797" i="1"/>
  <c r="O797" i="1"/>
  <c r="P797" i="1"/>
  <c r="Q797" i="1"/>
  <c r="A798" i="1"/>
  <c r="B798" i="1"/>
  <c r="C798" i="1"/>
  <c r="D798" i="1"/>
  <c r="E798" i="1"/>
  <c r="F798" i="1"/>
  <c r="G798" i="1"/>
  <c r="H798" i="1"/>
  <c r="I798" i="1"/>
  <c r="J798" i="1"/>
  <c r="K798" i="1"/>
  <c r="L798" i="1"/>
  <c r="M798" i="1"/>
  <c r="N798" i="1"/>
  <c r="O798" i="1"/>
  <c r="P798" i="1"/>
  <c r="Q798" i="1"/>
  <c r="A799" i="1"/>
  <c r="B799" i="1"/>
  <c r="C799" i="1"/>
  <c r="E799" i="1"/>
  <c r="F799" i="1"/>
  <c r="G799" i="1"/>
  <c r="H799" i="1"/>
  <c r="I799" i="1"/>
  <c r="J799" i="1"/>
  <c r="K799" i="1"/>
  <c r="L799" i="1"/>
  <c r="M799" i="1"/>
  <c r="N799" i="1"/>
  <c r="O799" i="1"/>
  <c r="P799" i="1"/>
  <c r="Q799" i="1"/>
  <c r="A800" i="1"/>
  <c r="B800" i="1"/>
  <c r="C800" i="1"/>
  <c r="E800" i="1"/>
  <c r="F800" i="1"/>
  <c r="G800" i="1"/>
  <c r="H800" i="1"/>
  <c r="I800" i="1"/>
  <c r="J800" i="1"/>
  <c r="K800" i="1"/>
  <c r="L800" i="1"/>
  <c r="M800" i="1"/>
  <c r="N800" i="1"/>
  <c r="O800" i="1"/>
  <c r="P800" i="1"/>
  <c r="Q800" i="1"/>
  <c r="A801" i="1"/>
  <c r="B801" i="1"/>
  <c r="C801" i="1"/>
  <c r="E801" i="1"/>
  <c r="F801" i="1"/>
  <c r="G801" i="1"/>
  <c r="H801" i="1"/>
  <c r="I801" i="1"/>
  <c r="J801" i="1"/>
  <c r="K801" i="1"/>
  <c r="L801" i="1"/>
  <c r="M801" i="1"/>
  <c r="N801" i="1"/>
  <c r="O801" i="1"/>
  <c r="P801" i="1"/>
  <c r="Q801" i="1"/>
  <c r="A802" i="1"/>
  <c r="B802" i="1"/>
  <c r="C802" i="1"/>
  <c r="E802" i="1"/>
  <c r="F802" i="1"/>
  <c r="G802" i="1"/>
  <c r="H802" i="1"/>
  <c r="I802" i="1"/>
  <c r="J802" i="1"/>
  <c r="K802" i="1"/>
  <c r="L802" i="1"/>
  <c r="M802" i="1"/>
  <c r="N802" i="1"/>
  <c r="O802" i="1"/>
  <c r="P802" i="1"/>
  <c r="Q802" i="1"/>
  <c r="A803" i="1"/>
  <c r="B803" i="1"/>
  <c r="C803" i="1"/>
  <c r="E803" i="1"/>
  <c r="F803" i="1"/>
  <c r="G803" i="1"/>
  <c r="H803" i="1"/>
  <c r="I803" i="1"/>
  <c r="J803" i="1"/>
  <c r="K803" i="1"/>
  <c r="L803" i="1"/>
  <c r="M803" i="1"/>
  <c r="N803" i="1"/>
  <c r="O803" i="1"/>
  <c r="P803" i="1"/>
  <c r="Q803" i="1"/>
  <c r="A804" i="1"/>
  <c r="B804" i="1"/>
  <c r="C804" i="1"/>
  <c r="E804" i="1"/>
  <c r="F804" i="1"/>
  <c r="G804" i="1"/>
  <c r="H804" i="1"/>
  <c r="I804" i="1"/>
  <c r="J804" i="1"/>
  <c r="K804" i="1"/>
  <c r="L804" i="1"/>
  <c r="M804" i="1"/>
  <c r="N804" i="1"/>
  <c r="O804" i="1"/>
  <c r="P804" i="1"/>
  <c r="Q804" i="1"/>
  <c r="A805" i="1"/>
  <c r="B805" i="1"/>
  <c r="C805" i="1"/>
  <c r="E805" i="1"/>
  <c r="F805" i="1"/>
  <c r="G805" i="1"/>
  <c r="H805" i="1"/>
  <c r="I805" i="1"/>
  <c r="J805" i="1"/>
  <c r="K805" i="1"/>
  <c r="L805" i="1"/>
  <c r="M805" i="1"/>
  <c r="N805" i="1"/>
  <c r="O805" i="1"/>
  <c r="P805" i="1"/>
  <c r="Q805" i="1"/>
  <c r="A806" i="1"/>
  <c r="B806" i="1"/>
  <c r="C806" i="1"/>
  <c r="D806" i="1"/>
  <c r="E806" i="1"/>
  <c r="F806" i="1"/>
  <c r="G806" i="1"/>
  <c r="H806" i="1"/>
  <c r="I806" i="1"/>
  <c r="J806" i="1"/>
  <c r="K806" i="1"/>
  <c r="L806" i="1"/>
  <c r="M806" i="1"/>
  <c r="N806" i="1"/>
  <c r="O806" i="1"/>
  <c r="P806" i="1"/>
  <c r="Q806" i="1"/>
  <c r="A807" i="1"/>
  <c r="B807" i="1"/>
  <c r="C807" i="1"/>
  <c r="D807" i="1"/>
  <c r="E807" i="1"/>
  <c r="F807" i="1"/>
  <c r="G807" i="1"/>
  <c r="H807" i="1"/>
  <c r="I807" i="1"/>
  <c r="J807" i="1"/>
  <c r="K807" i="1"/>
  <c r="L807" i="1"/>
  <c r="M807" i="1"/>
  <c r="N807" i="1"/>
  <c r="O807" i="1"/>
  <c r="P807" i="1"/>
  <c r="Q807" i="1"/>
  <c r="A808" i="1"/>
  <c r="B808" i="1"/>
  <c r="C808" i="1"/>
  <c r="D808" i="1"/>
  <c r="E808" i="1"/>
  <c r="F808" i="1"/>
  <c r="G808" i="1"/>
  <c r="H808" i="1"/>
  <c r="I808" i="1"/>
  <c r="J808" i="1"/>
  <c r="K808" i="1"/>
  <c r="L808" i="1"/>
  <c r="M808" i="1"/>
  <c r="N808" i="1"/>
  <c r="O808" i="1"/>
  <c r="P808" i="1"/>
  <c r="Q808" i="1"/>
  <c r="A809" i="1"/>
  <c r="B809" i="1"/>
  <c r="C809" i="1"/>
  <c r="D809" i="1"/>
  <c r="E809" i="1"/>
  <c r="F809" i="1"/>
  <c r="G809" i="1"/>
  <c r="H809" i="1"/>
  <c r="I809" i="1"/>
  <c r="J809" i="1"/>
  <c r="K809" i="1"/>
  <c r="L809" i="1"/>
  <c r="M809" i="1"/>
  <c r="N809" i="1"/>
  <c r="O809" i="1"/>
  <c r="P809" i="1"/>
  <c r="Q809" i="1"/>
  <c r="A810" i="1"/>
  <c r="B810" i="1"/>
  <c r="C810" i="1"/>
  <c r="E810" i="1"/>
  <c r="F810" i="1"/>
  <c r="G810" i="1"/>
  <c r="H810" i="1"/>
  <c r="I810" i="1"/>
  <c r="J810" i="1"/>
  <c r="K810" i="1"/>
  <c r="L810" i="1"/>
  <c r="M810" i="1"/>
  <c r="N810" i="1"/>
  <c r="O810" i="1"/>
  <c r="P810" i="1"/>
  <c r="Q810" i="1"/>
  <c r="A811" i="1"/>
  <c r="B811" i="1"/>
  <c r="C811" i="1"/>
  <c r="D811" i="1"/>
  <c r="E811" i="1"/>
  <c r="F811" i="1"/>
  <c r="G811" i="1"/>
  <c r="H811" i="1"/>
  <c r="I811" i="1"/>
  <c r="J811" i="1"/>
  <c r="K811" i="1"/>
  <c r="L811" i="1"/>
  <c r="M811" i="1"/>
  <c r="N811" i="1"/>
  <c r="O811" i="1"/>
  <c r="P811" i="1"/>
  <c r="Q811" i="1"/>
  <c r="A812" i="1"/>
  <c r="B812" i="1"/>
  <c r="C812" i="1"/>
  <c r="D812" i="1"/>
  <c r="E812" i="1"/>
  <c r="F812" i="1"/>
  <c r="G812" i="1"/>
  <c r="H812" i="1"/>
  <c r="I812" i="1"/>
  <c r="J812" i="1"/>
  <c r="K812" i="1"/>
  <c r="L812" i="1"/>
  <c r="M812" i="1"/>
  <c r="N812" i="1"/>
  <c r="O812" i="1"/>
  <c r="P812" i="1"/>
  <c r="Q812" i="1"/>
  <c r="A813" i="1"/>
  <c r="B813" i="1"/>
  <c r="C813" i="1"/>
  <c r="D813" i="1"/>
  <c r="E813" i="1"/>
  <c r="F813" i="1"/>
  <c r="G813" i="1"/>
  <c r="H813" i="1"/>
  <c r="I813" i="1"/>
  <c r="J813" i="1"/>
  <c r="K813" i="1"/>
  <c r="L813" i="1"/>
  <c r="M813" i="1"/>
  <c r="N813" i="1"/>
  <c r="O813" i="1"/>
  <c r="P813" i="1"/>
  <c r="Q813" i="1"/>
  <c r="A814" i="1"/>
  <c r="B814" i="1"/>
  <c r="C814" i="1"/>
  <c r="D814" i="1"/>
  <c r="E814" i="1"/>
  <c r="F814" i="1"/>
  <c r="G814" i="1"/>
  <c r="H814" i="1"/>
  <c r="I814" i="1"/>
  <c r="J814" i="1"/>
  <c r="K814" i="1"/>
  <c r="L814" i="1"/>
  <c r="M814" i="1"/>
  <c r="N814" i="1"/>
  <c r="O814" i="1"/>
  <c r="P814" i="1"/>
  <c r="Q814" i="1"/>
  <c r="A815" i="1"/>
  <c r="B815" i="1"/>
  <c r="C815" i="1"/>
  <c r="D815" i="1"/>
  <c r="E815" i="1"/>
  <c r="F815" i="1"/>
  <c r="G815" i="1"/>
  <c r="H815" i="1"/>
  <c r="I815" i="1"/>
  <c r="J815" i="1"/>
  <c r="K815" i="1"/>
  <c r="L815" i="1"/>
  <c r="M815" i="1"/>
  <c r="N815" i="1"/>
  <c r="O815" i="1"/>
  <c r="P815" i="1"/>
  <c r="Q815" i="1"/>
  <c r="A816" i="1"/>
  <c r="B816" i="1"/>
  <c r="C816" i="1"/>
  <c r="D816" i="1"/>
  <c r="E816" i="1"/>
  <c r="F816" i="1"/>
  <c r="G816" i="1"/>
  <c r="H816" i="1"/>
  <c r="I816" i="1"/>
  <c r="J816" i="1"/>
  <c r="K816" i="1"/>
  <c r="L816" i="1"/>
  <c r="M816" i="1"/>
  <c r="N816" i="1"/>
  <c r="O816" i="1"/>
  <c r="P816" i="1"/>
  <c r="Q816" i="1"/>
  <c r="A817" i="1"/>
  <c r="B817" i="1"/>
  <c r="C817" i="1"/>
  <c r="D817" i="1"/>
  <c r="E817" i="1"/>
  <c r="F817" i="1"/>
  <c r="G817" i="1"/>
  <c r="H817" i="1"/>
  <c r="I817" i="1"/>
  <c r="J817" i="1"/>
  <c r="K817" i="1"/>
  <c r="L817" i="1"/>
  <c r="M817" i="1"/>
  <c r="N817" i="1"/>
  <c r="O817" i="1"/>
  <c r="P817" i="1"/>
  <c r="Q817" i="1"/>
  <c r="A818" i="1"/>
  <c r="B818" i="1"/>
  <c r="C818" i="1"/>
  <c r="D818" i="1"/>
  <c r="E818" i="1"/>
  <c r="F818" i="1"/>
  <c r="G818" i="1"/>
  <c r="H818" i="1"/>
  <c r="I818" i="1"/>
  <c r="J818" i="1"/>
  <c r="K818" i="1"/>
  <c r="L818" i="1"/>
  <c r="M818" i="1"/>
  <c r="N818" i="1"/>
  <c r="O818" i="1"/>
  <c r="P818" i="1"/>
  <c r="Q818" i="1"/>
  <c r="A819" i="1"/>
  <c r="B819" i="1"/>
  <c r="C819" i="1"/>
  <c r="E819" i="1"/>
  <c r="F819" i="1"/>
  <c r="G819" i="1"/>
  <c r="H819" i="1"/>
  <c r="I819" i="1"/>
  <c r="J819" i="1"/>
  <c r="K819" i="1"/>
  <c r="L819" i="1"/>
  <c r="M819" i="1"/>
  <c r="N819" i="1"/>
  <c r="O819" i="1"/>
  <c r="P819" i="1"/>
  <c r="Q819" i="1"/>
  <c r="A820" i="1"/>
  <c r="B820" i="1"/>
  <c r="C820" i="1"/>
  <c r="E820" i="1"/>
  <c r="F820" i="1"/>
  <c r="G820" i="1"/>
  <c r="H820" i="1"/>
  <c r="I820" i="1"/>
  <c r="J820" i="1"/>
  <c r="K820" i="1"/>
  <c r="L820" i="1"/>
  <c r="M820" i="1"/>
  <c r="N820" i="1"/>
  <c r="O820" i="1"/>
  <c r="P820" i="1"/>
  <c r="Q820" i="1"/>
  <c r="A821" i="1"/>
  <c r="B821" i="1"/>
  <c r="C821" i="1"/>
  <c r="D821" i="1"/>
  <c r="E821" i="1"/>
  <c r="F821" i="1"/>
  <c r="G821" i="1"/>
  <c r="H821" i="1"/>
  <c r="I821" i="1"/>
  <c r="J821" i="1"/>
  <c r="K821" i="1"/>
  <c r="L821" i="1"/>
  <c r="M821" i="1"/>
  <c r="N821" i="1"/>
  <c r="O821" i="1"/>
  <c r="P821" i="1"/>
  <c r="Q821" i="1"/>
  <c r="A822" i="1"/>
  <c r="B822" i="1"/>
  <c r="C822" i="1"/>
  <c r="D822" i="1"/>
  <c r="E822" i="1"/>
  <c r="F822" i="1"/>
  <c r="G822" i="1"/>
  <c r="H822" i="1"/>
  <c r="I822" i="1"/>
  <c r="J822" i="1"/>
  <c r="K822" i="1"/>
  <c r="L822" i="1"/>
  <c r="M822" i="1"/>
  <c r="N822" i="1"/>
  <c r="O822" i="1"/>
  <c r="P822" i="1"/>
  <c r="Q822" i="1"/>
  <c r="A823" i="1"/>
  <c r="B823" i="1"/>
  <c r="C823" i="1"/>
  <c r="D823" i="1"/>
  <c r="E823" i="1"/>
  <c r="F823" i="1"/>
  <c r="G823" i="1"/>
  <c r="H823" i="1"/>
  <c r="I823" i="1"/>
  <c r="J823" i="1"/>
  <c r="K823" i="1"/>
  <c r="L823" i="1"/>
  <c r="M823" i="1"/>
  <c r="N823" i="1"/>
  <c r="O823" i="1"/>
  <c r="P823" i="1"/>
  <c r="Q823" i="1"/>
  <c r="A824" i="1"/>
  <c r="B824" i="1"/>
  <c r="C824" i="1"/>
  <c r="D824" i="1"/>
  <c r="E824" i="1"/>
  <c r="F824" i="1"/>
  <c r="G824" i="1"/>
  <c r="H824" i="1"/>
  <c r="I824" i="1"/>
  <c r="J824" i="1"/>
  <c r="K824" i="1"/>
  <c r="L824" i="1"/>
  <c r="M824" i="1"/>
  <c r="N824" i="1"/>
  <c r="O824" i="1"/>
  <c r="P824" i="1"/>
  <c r="Q824" i="1"/>
  <c r="A825" i="1"/>
  <c r="B825" i="1"/>
  <c r="C825" i="1"/>
  <c r="D825" i="1"/>
  <c r="E825" i="1"/>
  <c r="F825" i="1"/>
  <c r="G825" i="1"/>
  <c r="H825" i="1"/>
  <c r="I825" i="1"/>
  <c r="J825" i="1"/>
  <c r="K825" i="1"/>
  <c r="L825" i="1"/>
  <c r="M825" i="1"/>
  <c r="N825" i="1"/>
  <c r="O825" i="1"/>
  <c r="P825" i="1"/>
  <c r="Q825" i="1"/>
  <c r="A826" i="1"/>
  <c r="B826" i="1"/>
  <c r="C826" i="1"/>
  <c r="D826" i="1"/>
  <c r="E826" i="1"/>
  <c r="F826" i="1"/>
  <c r="G826" i="1"/>
  <c r="H826" i="1"/>
  <c r="I826" i="1"/>
  <c r="J826" i="1"/>
  <c r="K826" i="1"/>
  <c r="L826" i="1"/>
  <c r="M826" i="1"/>
  <c r="N826" i="1"/>
  <c r="O826" i="1"/>
  <c r="P826" i="1"/>
  <c r="Q826" i="1"/>
  <c r="A827" i="1"/>
  <c r="B827" i="1"/>
  <c r="C827" i="1"/>
  <c r="E827" i="1"/>
  <c r="F827" i="1"/>
  <c r="G827" i="1"/>
  <c r="H827" i="1"/>
  <c r="I827" i="1"/>
  <c r="J827" i="1"/>
  <c r="K827" i="1"/>
  <c r="L827" i="1"/>
  <c r="M827" i="1"/>
  <c r="N827" i="1"/>
  <c r="O827" i="1"/>
  <c r="P827" i="1"/>
  <c r="Q827" i="1"/>
  <c r="A828" i="1"/>
  <c r="B828" i="1"/>
  <c r="C828" i="1"/>
  <c r="D828" i="1"/>
  <c r="E828" i="1"/>
  <c r="F828" i="1"/>
  <c r="G828" i="1"/>
  <c r="H828" i="1"/>
  <c r="I828" i="1"/>
  <c r="J828" i="1"/>
  <c r="K828" i="1"/>
  <c r="L828" i="1"/>
  <c r="M828" i="1"/>
  <c r="N828" i="1"/>
  <c r="O828" i="1"/>
  <c r="P828" i="1"/>
  <c r="Q828" i="1"/>
  <c r="A829" i="1"/>
  <c r="B829" i="1"/>
  <c r="C829" i="1"/>
  <c r="E829" i="1"/>
  <c r="F829" i="1"/>
  <c r="G829" i="1"/>
  <c r="H829" i="1"/>
  <c r="I829" i="1"/>
  <c r="J829" i="1"/>
  <c r="K829" i="1"/>
  <c r="L829" i="1"/>
  <c r="M829" i="1"/>
  <c r="N829" i="1"/>
  <c r="O829" i="1"/>
  <c r="P829" i="1"/>
  <c r="Q829" i="1"/>
  <c r="A830" i="1"/>
  <c r="B830" i="1"/>
  <c r="C830" i="1"/>
  <c r="E830" i="1"/>
  <c r="F830" i="1"/>
  <c r="G830" i="1"/>
  <c r="H830" i="1"/>
  <c r="I830" i="1"/>
  <c r="J830" i="1"/>
  <c r="K830" i="1"/>
  <c r="L830" i="1"/>
  <c r="M830" i="1"/>
  <c r="N830" i="1"/>
  <c r="O830" i="1"/>
  <c r="P830" i="1"/>
  <c r="Q830" i="1"/>
  <c r="A831" i="1"/>
  <c r="B831" i="1"/>
  <c r="C831" i="1"/>
  <c r="D831" i="1"/>
  <c r="E831" i="1"/>
  <c r="F831" i="1"/>
  <c r="G831" i="1"/>
  <c r="H831" i="1"/>
  <c r="I831" i="1"/>
  <c r="J831" i="1"/>
  <c r="K831" i="1"/>
  <c r="L831" i="1"/>
  <c r="M831" i="1"/>
  <c r="N831" i="1"/>
  <c r="O831" i="1"/>
  <c r="P831" i="1"/>
  <c r="Q831" i="1"/>
  <c r="A832" i="1"/>
  <c r="B832" i="1"/>
  <c r="C832" i="1"/>
  <c r="E832" i="1"/>
  <c r="F832" i="1"/>
  <c r="G832" i="1"/>
  <c r="H832" i="1"/>
  <c r="I832" i="1"/>
  <c r="J832" i="1"/>
  <c r="K832" i="1"/>
  <c r="L832" i="1"/>
  <c r="M832" i="1"/>
  <c r="N832" i="1"/>
  <c r="O832" i="1"/>
  <c r="P832" i="1"/>
  <c r="Q832" i="1"/>
  <c r="A833" i="1"/>
  <c r="B833" i="1"/>
  <c r="C833" i="1"/>
  <c r="D833" i="1"/>
  <c r="E833" i="1"/>
  <c r="F833" i="1"/>
  <c r="G833" i="1"/>
  <c r="H833" i="1"/>
  <c r="I833" i="1"/>
  <c r="J833" i="1"/>
  <c r="K833" i="1"/>
  <c r="L833" i="1"/>
  <c r="M833" i="1"/>
  <c r="N833" i="1"/>
  <c r="O833" i="1"/>
  <c r="P833" i="1"/>
  <c r="Q833" i="1"/>
  <c r="A834" i="1"/>
  <c r="B834" i="1"/>
  <c r="C834" i="1"/>
  <c r="D834" i="1"/>
  <c r="E834" i="1"/>
  <c r="F834" i="1"/>
  <c r="G834" i="1"/>
  <c r="H834" i="1"/>
  <c r="I834" i="1"/>
  <c r="J834" i="1"/>
  <c r="K834" i="1"/>
  <c r="L834" i="1"/>
  <c r="M834" i="1"/>
  <c r="N834" i="1"/>
  <c r="O834" i="1"/>
  <c r="P834" i="1"/>
  <c r="Q834" i="1"/>
  <c r="A835" i="1"/>
  <c r="B835" i="1"/>
  <c r="C835" i="1"/>
  <c r="E835" i="1"/>
  <c r="F835" i="1"/>
  <c r="G835" i="1"/>
  <c r="H835" i="1"/>
  <c r="I835" i="1"/>
  <c r="J835" i="1"/>
  <c r="K835" i="1"/>
  <c r="L835" i="1"/>
  <c r="M835" i="1"/>
  <c r="N835" i="1"/>
  <c r="O835" i="1"/>
  <c r="P835" i="1"/>
  <c r="Q835" i="1"/>
  <c r="A836" i="1"/>
  <c r="B836" i="1"/>
  <c r="C836" i="1"/>
  <c r="D836" i="1"/>
  <c r="E836" i="1"/>
  <c r="F836" i="1"/>
  <c r="G836" i="1"/>
  <c r="H836" i="1"/>
  <c r="I836" i="1"/>
  <c r="J836" i="1"/>
  <c r="K836" i="1"/>
  <c r="L836" i="1"/>
  <c r="M836" i="1"/>
  <c r="N836" i="1"/>
  <c r="O836" i="1"/>
  <c r="P836" i="1"/>
  <c r="Q836" i="1"/>
  <c r="A837" i="1"/>
  <c r="B837" i="1"/>
  <c r="C837" i="1"/>
  <c r="E837" i="1"/>
  <c r="F837" i="1"/>
  <c r="G837" i="1"/>
  <c r="H837" i="1"/>
  <c r="I837" i="1"/>
  <c r="J837" i="1"/>
  <c r="K837" i="1"/>
  <c r="L837" i="1"/>
  <c r="M837" i="1"/>
  <c r="N837" i="1"/>
  <c r="O837" i="1"/>
  <c r="P837" i="1"/>
  <c r="Q837" i="1"/>
  <c r="A838" i="1"/>
  <c r="B838" i="1"/>
  <c r="C838" i="1"/>
  <c r="D838" i="1"/>
  <c r="E838" i="1"/>
  <c r="F838" i="1"/>
  <c r="G838" i="1"/>
  <c r="H838" i="1"/>
  <c r="I838" i="1"/>
  <c r="J838" i="1"/>
  <c r="K838" i="1"/>
  <c r="L838" i="1"/>
  <c r="M838" i="1"/>
  <c r="N838" i="1"/>
  <c r="O838" i="1"/>
  <c r="P838" i="1"/>
  <c r="Q838" i="1"/>
  <c r="A839" i="1"/>
  <c r="B839" i="1"/>
  <c r="C839" i="1"/>
  <c r="D839" i="1"/>
  <c r="E839" i="1"/>
  <c r="F839" i="1"/>
  <c r="G839" i="1"/>
  <c r="H839" i="1"/>
  <c r="I839" i="1"/>
  <c r="J839" i="1"/>
  <c r="K839" i="1"/>
  <c r="L839" i="1"/>
  <c r="M839" i="1"/>
  <c r="N839" i="1"/>
  <c r="O839" i="1"/>
  <c r="P839" i="1"/>
  <c r="Q839" i="1"/>
  <c r="A840" i="1"/>
  <c r="B840" i="1"/>
  <c r="C840" i="1"/>
  <c r="D840" i="1"/>
  <c r="E840" i="1"/>
  <c r="F840" i="1"/>
  <c r="G840" i="1"/>
  <c r="H840" i="1"/>
  <c r="I840" i="1"/>
  <c r="J840" i="1"/>
  <c r="K840" i="1"/>
  <c r="L840" i="1"/>
  <c r="M840" i="1"/>
  <c r="N840" i="1"/>
  <c r="O840" i="1"/>
  <c r="P840" i="1"/>
  <c r="Q840" i="1"/>
  <c r="A841" i="1"/>
  <c r="B841" i="1"/>
  <c r="C841" i="1"/>
  <c r="D841" i="1"/>
  <c r="E841" i="1"/>
  <c r="F841" i="1"/>
  <c r="G841" i="1"/>
  <c r="H841" i="1"/>
  <c r="I841" i="1"/>
  <c r="J841" i="1"/>
  <c r="K841" i="1"/>
  <c r="L841" i="1"/>
  <c r="M841" i="1"/>
  <c r="N841" i="1"/>
  <c r="O841" i="1"/>
  <c r="P841" i="1"/>
  <c r="Q841" i="1"/>
  <c r="A842" i="1"/>
  <c r="B842" i="1"/>
  <c r="C842" i="1"/>
  <c r="D842" i="1"/>
  <c r="E842" i="1"/>
  <c r="F842" i="1"/>
  <c r="G842" i="1"/>
  <c r="H842" i="1"/>
  <c r="I842" i="1"/>
  <c r="J842" i="1"/>
  <c r="K842" i="1"/>
  <c r="L842" i="1"/>
  <c r="M842" i="1"/>
  <c r="N842" i="1"/>
  <c r="O842" i="1"/>
  <c r="P842" i="1"/>
  <c r="Q842" i="1"/>
  <c r="A843" i="1"/>
  <c r="B843" i="1"/>
  <c r="C843" i="1"/>
  <c r="D843" i="1"/>
  <c r="E843" i="1"/>
  <c r="F843" i="1"/>
  <c r="G843" i="1"/>
  <c r="H843" i="1"/>
  <c r="I843" i="1"/>
  <c r="J843" i="1"/>
  <c r="K843" i="1"/>
  <c r="L843" i="1"/>
  <c r="M843" i="1"/>
  <c r="N843" i="1"/>
  <c r="O843" i="1"/>
  <c r="P843" i="1"/>
  <c r="Q843" i="1"/>
  <c r="A844" i="1"/>
  <c r="B844" i="1"/>
  <c r="C844" i="1"/>
  <c r="D844" i="1"/>
  <c r="E844" i="1"/>
  <c r="F844" i="1"/>
  <c r="G844" i="1"/>
  <c r="H844" i="1"/>
  <c r="I844" i="1"/>
  <c r="J844" i="1"/>
  <c r="K844" i="1"/>
  <c r="L844" i="1"/>
  <c r="M844" i="1"/>
  <c r="N844" i="1"/>
  <c r="O844" i="1"/>
  <c r="P844" i="1"/>
  <c r="Q844" i="1"/>
  <c r="A845" i="1"/>
  <c r="B845" i="1"/>
  <c r="C845" i="1"/>
  <c r="D845" i="1"/>
  <c r="E845" i="1"/>
  <c r="F845" i="1"/>
  <c r="G845" i="1"/>
  <c r="H845" i="1"/>
  <c r="I845" i="1"/>
  <c r="J845" i="1"/>
  <c r="K845" i="1"/>
  <c r="L845" i="1"/>
  <c r="M845" i="1"/>
  <c r="N845" i="1"/>
  <c r="O845" i="1"/>
  <c r="P845" i="1"/>
  <c r="Q845" i="1"/>
  <c r="A846" i="1"/>
  <c r="B846" i="1"/>
  <c r="C846" i="1"/>
  <c r="D846" i="1"/>
  <c r="E846" i="1"/>
  <c r="F846" i="1"/>
  <c r="G846" i="1"/>
  <c r="H846" i="1"/>
  <c r="I846" i="1"/>
  <c r="J846" i="1"/>
  <c r="K846" i="1"/>
  <c r="L846" i="1"/>
  <c r="M846" i="1"/>
  <c r="N846" i="1"/>
  <c r="O846" i="1"/>
  <c r="P846" i="1"/>
  <c r="Q846" i="1"/>
  <c r="A847" i="1"/>
  <c r="B847" i="1"/>
  <c r="C847" i="1"/>
  <c r="D847" i="1"/>
  <c r="E847" i="1"/>
  <c r="F847" i="1"/>
  <c r="G847" i="1"/>
  <c r="H847" i="1"/>
  <c r="I847" i="1"/>
  <c r="J847" i="1"/>
  <c r="K847" i="1"/>
  <c r="L847" i="1"/>
  <c r="M847" i="1"/>
  <c r="N847" i="1"/>
  <c r="O847" i="1"/>
  <c r="P847" i="1"/>
  <c r="Q847" i="1"/>
  <c r="A848" i="1"/>
  <c r="B848" i="1"/>
  <c r="C848" i="1"/>
  <c r="D848" i="1"/>
  <c r="E848" i="1"/>
  <c r="F848" i="1"/>
  <c r="G848" i="1"/>
  <c r="H848" i="1"/>
  <c r="I848" i="1"/>
  <c r="J848" i="1"/>
  <c r="K848" i="1"/>
  <c r="L848" i="1"/>
  <c r="M848" i="1"/>
  <c r="N848" i="1"/>
  <c r="O848" i="1"/>
  <c r="P848" i="1"/>
  <c r="Q848" i="1"/>
  <c r="A849" i="1"/>
  <c r="B849" i="1"/>
  <c r="C849" i="1"/>
  <c r="E849" i="1"/>
  <c r="F849" i="1"/>
  <c r="G849" i="1"/>
  <c r="H849" i="1"/>
  <c r="I849" i="1"/>
  <c r="J849" i="1"/>
  <c r="K849" i="1"/>
  <c r="L849" i="1"/>
  <c r="M849" i="1"/>
  <c r="N849" i="1"/>
  <c r="O849" i="1"/>
  <c r="P849" i="1"/>
  <c r="Q849" i="1"/>
  <c r="A850" i="1"/>
  <c r="B850" i="1"/>
  <c r="C850" i="1"/>
  <c r="D850" i="1"/>
  <c r="E850" i="1"/>
  <c r="F850" i="1"/>
  <c r="G850" i="1"/>
  <c r="H850" i="1"/>
  <c r="I850" i="1"/>
  <c r="J850" i="1"/>
  <c r="K850" i="1"/>
  <c r="L850" i="1"/>
  <c r="M850" i="1"/>
  <c r="N850" i="1"/>
  <c r="O850" i="1"/>
  <c r="P850" i="1"/>
  <c r="Q850" i="1"/>
  <c r="A851" i="1"/>
  <c r="B851" i="1"/>
  <c r="C851" i="1"/>
  <c r="D851" i="1"/>
  <c r="E851" i="1"/>
  <c r="F851" i="1"/>
  <c r="G851" i="1"/>
  <c r="H851" i="1"/>
  <c r="I851" i="1"/>
  <c r="J851" i="1"/>
  <c r="K851" i="1"/>
  <c r="L851" i="1"/>
  <c r="M851" i="1"/>
  <c r="N851" i="1"/>
  <c r="O851" i="1"/>
  <c r="P851" i="1"/>
  <c r="Q851" i="1"/>
  <c r="A852" i="1"/>
  <c r="B852" i="1"/>
  <c r="C852" i="1"/>
  <c r="E852" i="1"/>
  <c r="F852" i="1"/>
  <c r="G852" i="1"/>
  <c r="H852" i="1"/>
  <c r="I852" i="1"/>
  <c r="J852" i="1"/>
  <c r="K852" i="1"/>
  <c r="L852" i="1"/>
  <c r="M852" i="1"/>
  <c r="N852" i="1"/>
  <c r="O852" i="1"/>
  <c r="P852" i="1"/>
  <c r="Q852" i="1"/>
  <c r="A853" i="1"/>
  <c r="B853" i="1"/>
  <c r="C853" i="1"/>
  <c r="D853" i="1"/>
  <c r="E853" i="1"/>
  <c r="F853" i="1"/>
  <c r="G853" i="1"/>
  <c r="H853" i="1"/>
  <c r="I853" i="1"/>
  <c r="J853" i="1"/>
  <c r="K853" i="1"/>
  <c r="L853" i="1"/>
  <c r="M853" i="1"/>
  <c r="N853" i="1"/>
  <c r="O853" i="1"/>
  <c r="P853" i="1"/>
  <c r="Q853" i="1"/>
  <c r="A854" i="1"/>
  <c r="B854" i="1"/>
  <c r="C854" i="1"/>
  <c r="D854" i="1"/>
  <c r="E854" i="1"/>
  <c r="F854" i="1"/>
  <c r="G854" i="1"/>
  <c r="H854" i="1"/>
  <c r="I854" i="1"/>
  <c r="J854" i="1"/>
  <c r="K854" i="1"/>
  <c r="L854" i="1"/>
  <c r="M854" i="1"/>
  <c r="N854" i="1"/>
  <c r="O854" i="1"/>
  <c r="P854" i="1"/>
  <c r="Q854" i="1"/>
  <c r="A855" i="1"/>
  <c r="B855" i="1"/>
  <c r="C855" i="1"/>
  <c r="D855" i="1"/>
  <c r="E855" i="1"/>
  <c r="F855" i="1"/>
  <c r="G855" i="1"/>
  <c r="H855" i="1"/>
  <c r="I855" i="1"/>
  <c r="J855" i="1"/>
  <c r="K855" i="1"/>
  <c r="L855" i="1"/>
  <c r="M855" i="1"/>
  <c r="N855" i="1"/>
  <c r="O855" i="1"/>
  <c r="P855" i="1"/>
  <c r="Q855" i="1"/>
  <c r="A856" i="1"/>
  <c r="B856" i="1"/>
  <c r="C856" i="1"/>
  <c r="D856" i="1"/>
  <c r="E856" i="1"/>
  <c r="F856" i="1"/>
  <c r="G856" i="1"/>
  <c r="H856" i="1"/>
  <c r="I856" i="1"/>
  <c r="J856" i="1"/>
  <c r="K856" i="1"/>
  <c r="L856" i="1"/>
  <c r="M856" i="1"/>
  <c r="N856" i="1"/>
  <c r="O856" i="1"/>
  <c r="P856" i="1"/>
  <c r="Q856" i="1"/>
  <c r="A857" i="1"/>
  <c r="B857" i="1"/>
  <c r="C857" i="1"/>
  <c r="D857" i="1"/>
  <c r="E857" i="1"/>
  <c r="F857" i="1"/>
  <c r="G857" i="1"/>
  <c r="H857" i="1"/>
  <c r="I857" i="1"/>
  <c r="J857" i="1"/>
  <c r="K857" i="1"/>
  <c r="L857" i="1"/>
  <c r="M857" i="1"/>
  <c r="N857" i="1"/>
  <c r="O857" i="1"/>
  <c r="P857" i="1"/>
  <c r="Q857" i="1"/>
  <c r="A858" i="1"/>
  <c r="B858" i="1"/>
  <c r="C858" i="1"/>
  <c r="E858" i="1"/>
  <c r="F858" i="1"/>
  <c r="G858" i="1"/>
  <c r="H858" i="1"/>
  <c r="I858" i="1"/>
  <c r="J858" i="1"/>
  <c r="K858" i="1"/>
  <c r="L858" i="1"/>
  <c r="M858" i="1"/>
  <c r="N858" i="1"/>
  <c r="O858" i="1"/>
  <c r="P858" i="1"/>
  <c r="Q858" i="1"/>
  <c r="A859" i="1"/>
  <c r="B859" i="1"/>
  <c r="C859" i="1"/>
  <c r="E859" i="1"/>
  <c r="F859" i="1"/>
  <c r="G859" i="1"/>
  <c r="H859" i="1"/>
  <c r="I859" i="1"/>
  <c r="J859" i="1"/>
  <c r="K859" i="1"/>
  <c r="L859" i="1"/>
  <c r="M859" i="1"/>
  <c r="N859" i="1"/>
  <c r="O859" i="1"/>
  <c r="P859" i="1"/>
  <c r="Q859" i="1"/>
  <c r="A860" i="1"/>
  <c r="B860" i="1"/>
  <c r="C860" i="1"/>
  <c r="D860" i="1"/>
  <c r="E860" i="1"/>
  <c r="F860" i="1"/>
  <c r="G860" i="1"/>
  <c r="H860" i="1"/>
  <c r="I860" i="1"/>
  <c r="J860" i="1"/>
  <c r="K860" i="1"/>
  <c r="L860" i="1"/>
  <c r="M860" i="1"/>
  <c r="N860" i="1"/>
  <c r="O860" i="1"/>
  <c r="P860" i="1"/>
  <c r="Q860" i="1"/>
  <c r="A861" i="1"/>
  <c r="B861" i="1"/>
  <c r="C861" i="1"/>
  <c r="D861" i="1"/>
  <c r="E861" i="1"/>
  <c r="F861" i="1"/>
  <c r="G861" i="1"/>
  <c r="H861" i="1"/>
  <c r="I861" i="1"/>
  <c r="J861" i="1"/>
  <c r="K861" i="1"/>
  <c r="L861" i="1"/>
  <c r="M861" i="1"/>
  <c r="N861" i="1"/>
  <c r="O861" i="1"/>
  <c r="P861" i="1"/>
  <c r="Q861" i="1"/>
  <c r="A862" i="1"/>
  <c r="B862" i="1"/>
  <c r="C862" i="1"/>
  <c r="D862" i="1"/>
  <c r="E862" i="1"/>
  <c r="F862" i="1"/>
  <c r="G862" i="1"/>
  <c r="H862" i="1"/>
  <c r="I862" i="1"/>
  <c r="J862" i="1"/>
  <c r="K862" i="1"/>
  <c r="L862" i="1"/>
  <c r="M862" i="1"/>
  <c r="N862" i="1"/>
  <c r="O862" i="1"/>
  <c r="P862" i="1"/>
  <c r="Q862" i="1"/>
  <c r="A863" i="1"/>
  <c r="B863" i="1"/>
  <c r="C863" i="1"/>
  <c r="D863" i="1"/>
  <c r="E863" i="1"/>
  <c r="F863" i="1"/>
  <c r="G863" i="1"/>
  <c r="H863" i="1"/>
  <c r="I863" i="1"/>
  <c r="J863" i="1"/>
  <c r="K863" i="1"/>
  <c r="L863" i="1"/>
  <c r="M863" i="1"/>
  <c r="N863" i="1"/>
  <c r="O863" i="1"/>
  <c r="P863" i="1"/>
  <c r="Q863" i="1"/>
  <c r="A864" i="1"/>
  <c r="B864" i="1"/>
  <c r="C864" i="1"/>
  <c r="D864" i="1"/>
  <c r="E864" i="1"/>
  <c r="F864" i="1"/>
  <c r="G864" i="1"/>
  <c r="H864" i="1"/>
  <c r="I864" i="1"/>
  <c r="J864" i="1"/>
  <c r="K864" i="1"/>
  <c r="L864" i="1"/>
  <c r="M864" i="1"/>
  <c r="N864" i="1"/>
  <c r="O864" i="1"/>
  <c r="P864" i="1"/>
  <c r="Q864" i="1"/>
  <c r="A865" i="1"/>
  <c r="B865" i="1"/>
  <c r="C865" i="1"/>
  <c r="D865" i="1"/>
  <c r="E865" i="1"/>
  <c r="F865" i="1"/>
  <c r="G865" i="1"/>
  <c r="H865" i="1"/>
  <c r="I865" i="1"/>
  <c r="J865" i="1"/>
  <c r="K865" i="1"/>
  <c r="L865" i="1"/>
  <c r="M865" i="1"/>
  <c r="N865" i="1"/>
  <c r="O865" i="1"/>
  <c r="P865" i="1"/>
  <c r="Q865" i="1"/>
  <c r="A866" i="1"/>
  <c r="B866" i="1"/>
  <c r="C866" i="1"/>
  <c r="D866" i="1"/>
  <c r="E866" i="1"/>
  <c r="F866" i="1"/>
  <c r="G866" i="1"/>
  <c r="H866" i="1"/>
  <c r="I866" i="1"/>
  <c r="J866" i="1"/>
  <c r="K866" i="1"/>
  <c r="L866" i="1"/>
  <c r="M866" i="1"/>
  <c r="N866" i="1"/>
  <c r="O866" i="1"/>
  <c r="P866" i="1"/>
  <c r="Q866" i="1"/>
  <c r="A867" i="1"/>
  <c r="B867" i="1"/>
  <c r="C867" i="1"/>
  <c r="E867" i="1"/>
  <c r="F867" i="1"/>
  <c r="G867" i="1"/>
  <c r="H867" i="1"/>
  <c r="I867" i="1"/>
  <c r="J867" i="1"/>
  <c r="K867" i="1"/>
  <c r="L867" i="1"/>
  <c r="M867" i="1"/>
  <c r="N867" i="1"/>
  <c r="O867" i="1"/>
  <c r="P867" i="1"/>
  <c r="Q867" i="1"/>
  <c r="A868" i="1"/>
  <c r="B868" i="1"/>
  <c r="C868" i="1"/>
  <c r="E868" i="1"/>
  <c r="F868" i="1"/>
  <c r="G868" i="1"/>
  <c r="H868" i="1"/>
  <c r="I868" i="1"/>
  <c r="J868" i="1"/>
  <c r="K868" i="1"/>
  <c r="L868" i="1"/>
  <c r="M868" i="1"/>
  <c r="N868" i="1"/>
  <c r="O868" i="1"/>
  <c r="P868" i="1"/>
  <c r="Q868" i="1"/>
  <c r="A869" i="1"/>
  <c r="B869" i="1"/>
  <c r="C869" i="1"/>
  <c r="D869" i="1"/>
  <c r="E869" i="1"/>
  <c r="F869" i="1"/>
  <c r="G869" i="1"/>
  <c r="H869" i="1"/>
  <c r="I869" i="1"/>
  <c r="J869" i="1"/>
  <c r="K869" i="1"/>
  <c r="L869" i="1"/>
  <c r="M869" i="1"/>
  <c r="N869" i="1"/>
  <c r="O869" i="1"/>
  <c r="P869" i="1"/>
  <c r="Q869" i="1"/>
  <c r="A870" i="1"/>
  <c r="B870" i="1"/>
  <c r="C870" i="1"/>
  <c r="E870" i="1"/>
  <c r="F870" i="1"/>
  <c r="G870" i="1"/>
  <c r="H870" i="1"/>
  <c r="I870" i="1"/>
  <c r="J870" i="1"/>
  <c r="K870" i="1"/>
  <c r="L870" i="1"/>
  <c r="M870" i="1"/>
  <c r="N870" i="1"/>
  <c r="O870" i="1"/>
  <c r="P870" i="1"/>
  <c r="Q870" i="1"/>
  <c r="A871" i="1"/>
  <c r="B871" i="1"/>
  <c r="C871" i="1"/>
  <c r="E871" i="1"/>
  <c r="F871" i="1"/>
  <c r="G871" i="1"/>
  <c r="H871" i="1"/>
  <c r="I871" i="1"/>
  <c r="J871" i="1"/>
  <c r="K871" i="1"/>
  <c r="L871" i="1"/>
  <c r="M871" i="1"/>
  <c r="N871" i="1"/>
  <c r="O871" i="1"/>
  <c r="P871" i="1"/>
  <c r="Q871" i="1"/>
  <c r="A872" i="1"/>
  <c r="B872" i="1"/>
  <c r="C872" i="1"/>
  <c r="D872" i="1"/>
  <c r="E872" i="1"/>
  <c r="F872" i="1"/>
  <c r="G872" i="1"/>
  <c r="H872" i="1"/>
  <c r="I872" i="1"/>
  <c r="J872" i="1"/>
  <c r="K872" i="1"/>
  <c r="L872" i="1"/>
  <c r="M872" i="1"/>
  <c r="N872" i="1"/>
  <c r="O872" i="1"/>
  <c r="P872" i="1"/>
  <c r="Q872" i="1"/>
  <c r="A873" i="1"/>
  <c r="B873" i="1"/>
  <c r="C873" i="1"/>
  <c r="E873" i="1"/>
  <c r="F873" i="1"/>
  <c r="G873" i="1"/>
  <c r="H873" i="1"/>
  <c r="I873" i="1"/>
  <c r="J873" i="1"/>
  <c r="K873" i="1"/>
  <c r="L873" i="1"/>
  <c r="M873" i="1"/>
  <c r="N873" i="1"/>
  <c r="O873" i="1"/>
  <c r="P873" i="1"/>
  <c r="Q873" i="1"/>
  <c r="A874" i="1"/>
  <c r="B874" i="1"/>
  <c r="C874" i="1"/>
  <c r="E874" i="1"/>
  <c r="F874" i="1"/>
  <c r="G874" i="1"/>
  <c r="H874" i="1"/>
  <c r="I874" i="1"/>
  <c r="J874" i="1"/>
  <c r="K874" i="1"/>
  <c r="L874" i="1"/>
  <c r="M874" i="1"/>
  <c r="N874" i="1"/>
  <c r="O874" i="1"/>
  <c r="P874" i="1"/>
  <c r="Q874" i="1"/>
  <c r="A875" i="1"/>
  <c r="B875" i="1"/>
  <c r="C875" i="1"/>
  <c r="E875" i="1"/>
  <c r="F875" i="1"/>
  <c r="G875" i="1"/>
  <c r="H875" i="1"/>
  <c r="I875" i="1"/>
  <c r="J875" i="1"/>
  <c r="K875" i="1"/>
  <c r="L875" i="1"/>
  <c r="M875" i="1"/>
  <c r="N875" i="1"/>
  <c r="O875" i="1"/>
  <c r="P875" i="1"/>
  <c r="Q875" i="1"/>
  <c r="A876" i="1"/>
  <c r="B876" i="1"/>
  <c r="C876" i="1"/>
  <c r="E876" i="1"/>
  <c r="F876" i="1"/>
  <c r="G876" i="1"/>
  <c r="H876" i="1"/>
  <c r="I876" i="1"/>
  <c r="J876" i="1"/>
  <c r="K876" i="1"/>
  <c r="L876" i="1"/>
  <c r="M876" i="1"/>
  <c r="N876" i="1"/>
  <c r="O876" i="1"/>
  <c r="P876" i="1"/>
  <c r="Q876" i="1"/>
  <c r="A877" i="1"/>
  <c r="B877" i="1"/>
  <c r="C877" i="1"/>
  <c r="D877" i="1"/>
  <c r="E877" i="1"/>
  <c r="F877" i="1"/>
  <c r="G877" i="1"/>
  <c r="H877" i="1"/>
  <c r="I877" i="1"/>
  <c r="J877" i="1"/>
  <c r="K877" i="1"/>
  <c r="L877" i="1"/>
  <c r="M877" i="1"/>
  <c r="N877" i="1"/>
  <c r="O877" i="1"/>
  <c r="P877" i="1"/>
  <c r="Q877" i="1"/>
  <c r="A878" i="1"/>
  <c r="B878" i="1"/>
  <c r="C878" i="1"/>
  <c r="D878" i="1"/>
  <c r="E878" i="1"/>
  <c r="F878" i="1"/>
  <c r="G878" i="1"/>
  <c r="H878" i="1"/>
  <c r="I878" i="1"/>
  <c r="J878" i="1"/>
  <c r="K878" i="1"/>
  <c r="L878" i="1"/>
  <c r="M878" i="1"/>
  <c r="N878" i="1"/>
  <c r="O878" i="1"/>
  <c r="P878" i="1"/>
  <c r="Q878" i="1"/>
  <c r="A879" i="1"/>
  <c r="B879" i="1"/>
  <c r="C879" i="1"/>
  <c r="E879" i="1"/>
  <c r="F879" i="1"/>
  <c r="G879" i="1"/>
  <c r="H879" i="1"/>
  <c r="I879" i="1"/>
  <c r="J879" i="1"/>
  <c r="K879" i="1"/>
  <c r="L879" i="1"/>
  <c r="M879" i="1"/>
  <c r="N879" i="1"/>
  <c r="O879" i="1"/>
  <c r="P879" i="1"/>
  <c r="Q879" i="1"/>
  <c r="A880" i="1"/>
  <c r="B880" i="1"/>
  <c r="C880" i="1"/>
  <c r="D880" i="1"/>
  <c r="E880" i="1"/>
  <c r="F880" i="1"/>
  <c r="G880" i="1"/>
  <c r="H880" i="1"/>
  <c r="I880" i="1"/>
  <c r="J880" i="1"/>
  <c r="K880" i="1"/>
  <c r="L880" i="1"/>
  <c r="M880" i="1"/>
  <c r="N880" i="1"/>
  <c r="O880" i="1"/>
  <c r="P880" i="1"/>
  <c r="Q880" i="1"/>
  <c r="A881" i="1"/>
  <c r="B881" i="1"/>
  <c r="C881" i="1"/>
  <c r="D881" i="1"/>
  <c r="E881" i="1"/>
  <c r="F881" i="1"/>
  <c r="G881" i="1"/>
  <c r="H881" i="1"/>
  <c r="I881" i="1"/>
  <c r="J881" i="1"/>
  <c r="K881" i="1"/>
  <c r="L881" i="1"/>
  <c r="M881" i="1"/>
  <c r="N881" i="1"/>
  <c r="O881" i="1"/>
  <c r="P881" i="1"/>
  <c r="Q881" i="1"/>
  <c r="A882" i="1"/>
  <c r="B882" i="1"/>
  <c r="C882" i="1"/>
  <c r="E882" i="1"/>
  <c r="F882" i="1"/>
  <c r="G882" i="1"/>
  <c r="H882" i="1"/>
  <c r="I882" i="1"/>
  <c r="J882" i="1"/>
  <c r="K882" i="1"/>
  <c r="L882" i="1"/>
  <c r="M882" i="1"/>
  <c r="N882" i="1"/>
  <c r="O882" i="1"/>
  <c r="P882" i="1"/>
  <c r="Q882" i="1"/>
  <c r="A883" i="1"/>
  <c r="B883" i="1"/>
  <c r="C883" i="1"/>
  <c r="E883" i="1"/>
  <c r="F883" i="1"/>
  <c r="G883" i="1"/>
  <c r="H883" i="1"/>
  <c r="I883" i="1"/>
  <c r="J883" i="1"/>
  <c r="K883" i="1"/>
  <c r="L883" i="1"/>
  <c r="M883" i="1"/>
  <c r="N883" i="1"/>
  <c r="O883" i="1"/>
  <c r="P883" i="1"/>
  <c r="Q883" i="1"/>
  <c r="A884" i="1"/>
  <c r="B884" i="1"/>
  <c r="C884" i="1"/>
  <c r="D884" i="1"/>
  <c r="E884" i="1"/>
  <c r="F884" i="1"/>
  <c r="G884" i="1"/>
  <c r="H884" i="1"/>
  <c r="I884" i="1"/>
  <c r="J884" i="1"/>
  <c r="K884" i="1"/>
  <c r="L884" i="1"/>
  <c r="M884" i="1"/>
  <c r="N884" i="1"/>
  <c r="O884" i="1"/>
  <c r="P884" i="1"/>
  <c r="Q884" i="1"/>
  <c r="A885" i="1"/>
  <c r="B885" i="1"/>
  <c r="C885" i="1"/>
  <c r="E885" i="1"/>
  <c r="F885" i="1"/>
  <c r="G885" i="1"/>
  <c r="H885" i="1"/>
  <c r="I885" i="1"/>
  <c r="J885" i="1"/>
  <c r="K885" i="1"/>
  <c r="L885" i="1"/>
  <c r="M885" i="1"/>
  <c r="N885" i="1"/>
  <c r="O885" i="1"/>
  <c r="P885" i="1"/>
  <c r="Q885" i="1"/>
  <c r="A886" i="1"/>
  <c r="B886" i="1"/>
  <c r="C886" i="1"/>
  <c r="E886" i="1"/>
  <c r="F886" i="1"/>
  <c r="G886" i="1"/>
  <c r="H886" i="1"/>
  <c r="I886" i="1"/>
  <c r="J886" i="1"/>
  <c r="K886" i="1"/>
  <c r="L886" i="1"/>
  <c r="M886" i="1"/>
  <c r="N886" i="1"/>
  <c r="O886" i="1"/>
  <c r="P886" i="1"/>
  <c r="Q886" i="1"/>
  <c r="A887" i="1"/>
  <c r="B887" i="1"/>
  <c r="C887" i="1"/>
  <c r="D887" i="1"/>
  <c r="E887" i="1"/>
  <c r="F887" i="1"/>
  <c r="G887" i="1"/>
  <c r="H887" i="1"/>
  <c r="I887" i="1"/>
  <c r="J887" i="1"/>
  <c r="K887" i="1"/>
  <c r="L887" i="1"/>
  <c r="M887" i="1"/>
  <c r="N887" i="1"/>
  <c r="O887" i="1"/>
  <c r="P887" i="1"/>
  <c r="Q887" i="1"/>
  <c r="A888" i="1"/>
  <c r="B888" i="1"/>
  <c r="C888" i="1"/>
  <c r="D888" i="1"/>
  <c r="E888" i="1"/>
  <c r="F888" i="1"/>
  <c r="G888" i="1"/>
  <c r="H888" i="1"/>
  <c r="I888" i="1"/>
  <c r="J888" i="1"/>
  <c r="K888" i="1"/>
  <c r="L888" i="1"/>
  <c r="M888" i="1"/>
  <c r="N888" i="1"/>
  <c r="O888" i="1"/>
  <c r="P888" i="1"/>
  <c r="Q888" i="1"/>
  <c r="A889" i="1"/>
  <c r="B889" i="1"/>
  <c r="C889" i="1"/>
  <c r="D889" i="1"/>
  <c r="E889" i="1"/>
  <c r="F889" i="1"/>
  <c r="G889" i="1"/>
  <c r="H889" i="1"/>
  <c r="I889" i="1"/>
  <c r="J889" i="1"/>
  <c r="K889" i="1"/>
  <c r="L889" i="1"/>
  <c r="M889" i="1"/>
  <c r="N889" i="1"/>
  <c r="O889" i="1"/>
  <c r="P889" i="1"/>
  <c r="Q889" i="1"/>
  <c r="A890" i="1"/>
  <c r="B890" i="1"/>
  <c r="C890" i="1"/>
  <c r="D890" i="1"/>
  <c r="E890" i="1"/>
  <c r="F890" i="1"/>
  <c r="G890" i="1"/>
  <c r="H890" i="1"/>
  <c r="I890" i="1"/>
  <c r="J890" i="1"/>
  <c r="K890" i="1"/>
  <c r="L890" i="1"/>
  <c r="M890" i="1"/>
  <c r="N890" i="1"/>
  <c r="O890" i="1"/>
  <c r="P890" i="1"/>
  <c r="Q890" i="1"/>
  <c r="A891" i="1"/>
  <c r="B891" i="1"/>
  <c r="C891" i="1"/>
  <c r="E891" i="1"/>
  <c r="F891" i="1"/>
  <c r="G891" i="1"/>
  <c r="H891" i="1"/>
  <c r="I891" i="1"/>
  <c r="J891" i="1"/>
  <c r="K891" i="1"/>
  <c r="L891" i="1"/>
  <c r="M891" i="1"/>
  <c r="N891" i="1"/>
  <c r="O891" i="1"/>
  <c r="P891" i="1"/>
  <c r="Q891" i="1"/>
  <c r="A892" i="1"/>
  <c r="B892" i="1"/>
  <c r="C892" i="1"/>
  <c r="E892" i="1"/>
  <c r="F892" i="1"/>
  <c r="G892" i="1"/>
  <c r="H892" i="1"/>
  <c r="I892" i="1"/>
  <c r="J892" i="1"/>
  <c r="K892" i="1"/>
  <c r="L892" i="1"/>
  <c r="M892" i="1"/>
  <c r="N892" i="1"/>
  <c r="O892" i="1"/>
  <c r="P892" i="1"/>
  <c r="Q892" i="1"/>
  <c r="A893" i="1"/>
  <c r="B893" i="1"/>
  <c r="C893" i="1"/>
  <c r="D893" i="1"/>
  <c r="E893" i="1"/>
  <c r="F893" i="1"/>
  <c r="G893" i="1"/>
  <c r="H893" i="1"/>
  <c r="I893" i="1"/>
  <c r="J893" i="1"/>
  <c r="K893" i="1"/>
  <c r="L893" i="1"/>
  <c r="M893" i="1"/>
  <c r="N893" i="1"/>
  <c r="O893" i="1"/>
  <c r="P893" i="1"/>
  <c r="Q893" i="1"/>
  <c r="A894" i="1"/>
  <c r="B894" i="1"/>
  <c r="C894" i="1"/>
  <c r="E894" i="1"/>
  <c r="F894" i="1"/>
  <c r="G894" i="1"/>
  <c r="H894" i="1"/>
  <c r="I894" i="1"/>
  <c r="J894" i="1"/>
  <c r="K894" i="1"/>
  <c r="L894" i="1"/>
  <c r="M894" i="1"/>
  <c r="N894" i="1"/>
  <c r="O894" i="1"/>
  <c r="P894" i="1"/>
  <c r="Q894" i="1"/>
  <c r="A895" i="1"/>
  <c r="B895" i="1"/>
  <c r="C895" i="1"/>
  <c r="E895" i="1"/>
  <c r="F895" i="1"/>
  <c r="G895" i="1"/>
  <c r="H895" i="1"/>
  <c r="I895" i="1"/>
  <c r="J895" i="1"/>
  <c r="K895" i="1"/>
  <c r="L895" i="1"/>
  <c r="M895" i="1"/>
  <c r="N895" i="1"/>
  <c r="O895" i="1"/>
  <c r="P895" i="1"/>
  <c r="Q895" i="1"/>
  <c r="A896" i="1"/>
  <c r="B896" i="1"/>
  <c r="C896" i="1"/>
  <c r="D896" i="1"/>
  <c r="E896" i="1"/>
  <c r="F896" i="1"/>
  <c r="G896" i="1"/>
  <c r="H896" i="1"/>
  <c r="I896" i="1"/>
  <c r="J896" i="1"/>
  <c r="K896" i="1"/>
  <c r="L896" i="1"/>
  <c r="M896" i="1"/>
  <c r="N896" i="1"/>
  <c r="O896" i="1"/>
  <c r="P896" i="1"/>
  <c r="Q896" i="1"/>
  <c r="A897" i="1"/>
  <c r="B897" i="1"/>
  <c r="C897" i="1"/>
  <c r="E897" i="1"/>
  <c r="F897" i="1"/>
  <c r="G897" i="1"/>
  <c r="H897" i="1"/>
  <c r="I897" i="1"/>
  <c r="J897" i="1"/>
  <c r="K897" i="1"/>
  <c r="L897" i="1"/>
  <c r="M897" i="1"/>
  <c r="N897" i="1"/>
  <c r="O897" i="1"/>
  <c r="P897" i="1"/>
  <c r="Q897" i="1"/>
  <c r="A898" i="1"/>
  <c r="B898" i="1"/>
  <c r="C898" i="1"/>
  <c r="E898" i="1"/>
  <c r="F898" i="1"/>
  <c r="G898" i="1"/>
  <c r="H898" i="1"/>
  <c r="I898" i="1"/>
  <c r="J898" i="1"/>
  <c r="K898" i="1"/>
  <c r="L898" i="1"/>
  <c r="M898" i="1"/>
  <c r="N898" i="1"/>
  <c r="O898" i="1"/>
  <c r="P898" i="1"/>
  <c r="Q898" i="1"/>
  <c r="A899" i="1"/>
  <c r="B899" i="1"/>
  <c r="C899" i="1"/>
  <c r="E899" i="1"/>
  <c r="F899" i="1"/>
  <c r="G899" i="1"/>
  <c r="H899" i="1"/>
  <c r="I899" i="1"/>
  <c r="J899" i="1"/>
  <c r="K899" i="1"/>
  <c r="L899" i="1"/>
  <c r="M899" i="1"/>
  <c r="N899" i="1"/>
  <c r="O899" i="1"/>
  <c r="P899" i="1"/>
  <c r="Q899" i="1"/>
  <c r="A900" i="1"/>
  <c r="B900" i="1"/>
  <c r="C900" i="1"/>
  <c r="E900" i="1"/>
  <c r="F900" i="1"/>
  <c r="G900" i="1"/>
  <c r="H900" i="1"/>
  <c r="I900" i="1"/>
  <c r="J900" i="1"/>
  <c r="K900" i="1"/>
  <c r="L900" i="1"/>
  <c r="M900" i="1"/>
  <c r="N900" i="1"/>
  <c r="O900" i="1"/>
  <c r="P900" i="1"/>
  <c r="Q900" i="1"/>
  <c r="A901" i="1"/>
  <c r="B901" i="1"/>
  <c r="C901" i="1"/>
  <c r="E901" i="1"/>
  <c r="F901" i="1"/>
  <c r="G901" i="1"/>
  <c r="H901" i="1"/>
  <c r="I901" i="1"/>
  <c r="J901" i="1"/>
  <c r="K901" i="1"/>
  <c r="L901" i="1"/>
  <c r="M901" i="1"/>
  <c r="N901" i="1"/>
  <c r="O901" i="1"/>
  <c r="P901" i="1"/>
  <c r="Q901" i="1"/>
  <c r="A902" i="1"/>
  <c r="B902" i="1"/>
  <c r="C902" i="1"/>
  <c r="D902" i="1"/>
  <c r="E902" i="1"/>
  <c r="F902" i="1"/>
  <c r="G902" i="1"/>
  <c r="H902" i="1"/>
  <c r="I902" i="1"/>
  <c r="J902" i="1"/>
  <c r="K902" i="1"/>
  <c r="L902" i="1"/>
  <c r="M902" i="1"/>
  <c r="N902" i="1"/>
  <c r="O902" i="1"/>
  <c r="P902" i="1"/>
  <c r="Q902" i="1"/>
  <c r="A903" i="1"/>
  <c r="B903" i="1"/>
  <c r="C903" i="1"/>
  <c r="E903" i="1"/>
  <c r="F903" i="1"/>
  <c r="G903" i="1"/>
  <c r="H903" i="1"/>
  <c r="I903" i="1"/>
  <c r="J903" i="1"/>
  <c r="K903" i="1"/>
  <c r="L903" i="1"/>
  <c r="M903" i="1"/>
  <c r="N903" i="1"/>
  <c r="O903" i="1"/>
  <c r="P903" i="1"/>
  <c r="Q903" i="1"/>
  <c r="A904" i="1"/>
  <c r="B904" i="1"/>
  <c r="C904" i="1"/>
  <c r="D904" i="1"/>
  <c r="E904" i="1"/>
  <c r="F904" i="1"/>
  <c r="G904" i="1"/>
  <c r="H904" i="1"/>
  <c r="I904" i="1"/>
  <c r="J904" i="1"/>
  <c r="K904" i="1"/>
  <c r="L904" i="1"/>
  <c r="M904" i="1"/>
  <c r="N904" i="1"/>
  <c r="O904" i="1"/>
  <c r="P904" i="1"/>
  <c r="Q904" i="1"/>
  <c r="A905" i="1"/>
  <c r="B905" i="1"/>
  <c r="C905" i="1"/>
  <c r="E905" i="1"/>
  <c r="F905" i="1"/>
  <c r="G905" i="1"/>
  <c r="H905" i="1"/>
  <c r="I905" i="1"/>
  <c r="J905" i="1"/>
  <c r="K905" i="1"/>
  <c r="L905" i="1"/>
  <c r="M905" i="1"/>
  <c r="N905" i="1"/>
  <c r="O905" i="1"/>
  <c r="P905" i="1"/>
  <c r="Q905" i="1"/>
  <c r="A906" i="1"/>
  <c r="B906" i="1"/>
  <c r="C906" i="1"/>
  <c r="E906" i="1"/>
  <c r="F906" i="1"/>
  <c r="G906" i="1"/>
  <c r="H906" i="1"/>
  <c r="I906" i="1"/>
  <c r="J906" i="1"/>
  <c r="K906" i="1"/>
  <c r="L906" i="1"/>
  <c r="M906" i="1"/>
  <c r="N906" i="1"/>
  <c r="O906" i="1"/>
  <c r="P906" i="1"/>
  <c r="Q906" i="1"/>
  <c r="A907" i="1"/>
  <c r="B907" i="1"/>
  <c r="C907" i="1"/>
  <c r="D907" i="1"/>
  <c r="E907" i="1"/>
  <c r="F907" i="1"/>
  <c r="G907" i="1"/>
  <c r="H907" i="1"/>
  <c r="I907" i="1"/>
  <c r="J907" i="1"/>
  <c r="K907" i="1"/>
  <c r="L907" i="1"/>
  <c r="M907" i="1"/>
  <c r="N907" i="1"/>
  <c r="O907" i="1"/>
  <c r="P907" i="1"/>
  <c r="Q907" i="1"/>
  <c r="A908" i="1"/>
  <c r="B908" i="1"/>
  <c r="C908" i="1"/>
  <c r="E908" i="1"/>
  <c r="F908" i="1"/>
  <c r="G908" i="1"/>
  <c r="H908" i="1"/>
  <c r="I908" i="1"/>
  <c r="J908" i="1"/>
  <c r="K908" i="1"/>
  <c r="L908" i="1"/>
  <c r="M908" i="1"/>
  <c r="N908" i="1"/>
  <c r="O908" i="1"/>
  <c r="P908" i="1"/>
  <c r="Q908" i="1"/>
  <c r="A909" i="1"/>
  <c r="B909" i="1"/>
  <c r="C909" i="1"/>
  <c r="D909" i="1"/>
  <c r="E909" i="1"/>
  <c r="F909" i="1"/>
  <c r="G909" i="1"/>
  <c r="H909" i="1"/>
  <c r="I909" i="1"/>
  <c r="J909" i="1"/>
  <c r="K909" i="1"/>
  <c r="L909" i="1"/>
  <c r="M909" i="1"/>
  <c r="N909" i="1"/>
  <c r="O909" i="1"/>
  <c r="P909" i="1"/>
  <c r="Q909" i="1"/>
  <c r="A910" i="1"/>
  <c r="B910" i="1"/>
  <c r="C910" i="1"/>
  <c r="D910" i="1"/>
  <c r="E910" i="1"/>
  <c r="F910" i="1"/>
  <c r="G910" i="1"/>
  <c r="H910" i="1"/>
  <c r="I910" i="1"/>
  <c r="J910" i="1"/>
  <c r="K910" i="1"/>
  <c r="L910" i="1"/>
  <c r="M910" i="1"/>
  <c r="N910" i="1"/>
  <c r="O910" i="1"/>
  <c r="P910" i="1"/>
  <c r="Q910" i="1"/>
  <c r="A911" i="1"/>
  <c r="B911" i="1"/>
  <c r="C911" i="1"/>
  <c r="D911" i="1"/>
  <c r="E911" i="1"/>
  <c r="F911" i="1"/>
  <c r="G911" i="1"/>
  <c r="H911" i="1"/>
  <c r="I911" i="1"/>
  <c r="J911" i="1"/>
  <c r="K911" i="1"/>
  <c r="L911" i="1"/>
  <c r="M911" i="1"/>
  <c r="N911" i="1"/>
  <c r="O911" i="1"/>
  <c r="P911" i="1"/>
  <c r="Q911" i="1"/>
  <c r="A912" i="1"/>
  <c r="B912" i="1"/>
  <c r="C912" i="1"/>
  <c r="D912" i="1"/>
  <c r="E912" i="1"/>
  <c r="F912" i="1"/>
  <c r="G912" i="1"/>
  <c r="H912" i="1"/>
  <c r="I912" i="1"/>
  <c r="J912" i="1"/>
  <c r="K912" i="1"/>
  <c r="L912" i="1"/>
  <c r="M912" i="1"/>
  <c r="N912" i="1"/>
  <c r="O912" i="1"/>
  <c r="P912" i="1"/>
  <c r="Q912" i="1"/>
  <c r="A913" i="1"/>
  <c r="B913" i="1"/>
  <c r="C913" i="1"/>
  <c r="D913" i="1"/>
  <c r="E913" i="1"/>
  <c r="F913" i="1"/>
  <c r="G913" i="1"/>
  <c r="H913" i="1"/>
  <c r="I913" i="1"/>
  <c r="J913" i="1"/>
  <c r="K913" i="1"/>
  <c r="L913" i="1"/>
  <c r="M913" i="1"/>
  <c r="N913" i="1"/>
  <c r="O913" i="1"/>
  <c r="P913" i="1"/>
  <c r="Q913" i="1"/>
  <c r="A914" i="1"/>
  <c r="B914" i="1"/>
  <c r="C914" i="1"/>
  <c r="D914" i="1"/>
  <c r="E914" i="1"/>
  <c r="F914" i="1"/>
  <c r="G914" i="1"/>
  <c r="H914" i="1"/>
  <c r="I914" i="1"/>
  <c r="J914" i="1"/>
  <c r="K914" i="1"/>
  <c r="L914" i="1"/>
  <c r="M914" i="1"/>
  <c r="N914" i="1"/>
  <c r="O914" i="1"/>
  <c r="P914" i="1"/>
  <c r="Q914" i="1"/>
  <c r="A915" i="1"/>
  <c r="B915" i="1"/>
  <c r="C915" i="1"/>
  <c r="D915" i="1"/>
  <c r="E915" i="1"/>
  <c r="F915" i="1"/>
  <c r="G915" i="1"/>
  <c r="H915" i="1"/>
  <c r="I915" i="1"/>
  <c r="J915" i="1"/>
  <c r="K915" i="1"/>
  <c r="L915" i="1"/>
  <c r="M915" i="1"/>
  <c r="N915" i="1"/>
  <c r="O915" i="1"/>
  <c r="P915" i="1"/>
  <c r="Q915" i="1"/>
  <c r="A916" i="1"/>
  <c r="B916" i="1"/>
  <c r="C916" i="1"/>
  <c r="D916" i="1"/>
  <c r="E916" i="1"/>
  <c r="F916" i="1"/>
  <c r="G916" i="1"/>
  <c r="H916" i="1"/>
  <c r="I916" i="1"/>
  <c r="J916" i="1"/>
  <c r="K916" i="1"/>
  <c r="L916" i="1"/>
  <c r="M916" i="1"/>
  <c r="N916" i="1"/>
  <c r="O916" i="1"/>
  <c r="P916" i="1"/>
  <c r="Q916" i="1"/>
  <c r="A917" i="1"/>
  <c r="B917" i="1"/>
  <c r="C917" i="1"/>
  <c r="D917" i="1"/>
  <c r="E917" i="1"/>
  <c r="F917" i="1"/>
  <c r="G917" i="1"/>
  <c r="H917" i="1"/>
  <c r="I917" i="1"/>
  <c r="J917" i="1"/>
  <c r="K917" i="1"/>
  <c r="L917" i="1"/>
  <c r="M917" i="1"/>
  <c r="N917" i="1"/>
  <c r="O917" i="1"/>
  <c r="P917" i="1"/>
  <c r="Q917" i="1"/>
  <c r="A918" i="1"/>
  <c r="B918" i="1"/>
  <c r="C918" i="1"/>
  <c r="D918" i="1"/>
  <c r="E918" i="1"/>
  <c r="F918" i="1"/>
  <c r="G918" i="1"/>
  <c r="H918" i="1"/>
  <c r="I918" i="1"/>
  <c r="J918" i="1"/>
  <c r="K918" i="1"/>
  <c r="L918" i="1"/>
  <c r="M918" i="1"/>
  <c r="N918" i="1"/>
  <c r="O918" i="1"/>
  <c r="P918" i="1"/>
  <c r="Q918" i="1"/>
  <c r="A919" i="1"/>
  <c r="B919" i="1"/>
  <c r="C919" i="1"/>
  <c r="E919" i="1"/>
  <c r="F919" i="1"/>
  <c r="G919" i="1"/>
  <c r="H919" i="1"/>
  <c r="I919" i="1"/>
  <c r="J919" i="1"/>
  <c r="K919" i="1"/>
  <c r="L919" i="1"/>
  <c r="M919" i="1"/>
  <c r="N919" i="1"/>
  <c r="O919" i="1"/>
  <c r="P919" i="1"/>
  <c r="Q919" i="1"/>
  <c r="A920" i="1"/>
  <c r="B920" i="1"/>
  <c r="C920" i="1"/>
  <c r="D920" i="1"/>
  <c r="E920" i="1"/>
  <c r="F920" i="1"/>
  <c r="G920" i="1"/>
  <c r="H920" i="1"/>
  <c r="I920" i="1"/>
  <c r="J920" i="1"/>
  <c r="K920" i="1"/>
  <c r="L920" i="1"/>
  <c r="M920" i="1"/>
  <c r="N920" i="1"/>
  <c r="O920" i="1"/>
  <c r="P920" i="1"/>
  <c r="Q920" i="1"/>
  <c r="A921" i="1"/>
  <c r="B921" i="1"/>
  <c r="C921" i="1"/>
  <c r="E921" i="1"/>
  <c r="F921" i="1"/>
  <c r="G921" i="1"/>
  <c r="H921" i="1"/>
  <c r="I921" i="1"/>
  <c r="J921" i="1"/>
  <c r="K921" i="1"/>
  <c r="L921" i="1"/>
  <c r="M921" i="1"/>
  <c r="N921" i="1"/>
  <c r="O921" i="1"/>
  <c r="P921" i="1"/>
  <c r="Q921" i="1"/>
  <c r="A922" i="1"/>
  <c r="B922" i="1"/>
  <c r="C922" i="1"/>
  <c r="D922" i="1"/>
  <c r="E922" i="1"/>
  <c r="F922" i="1"/>
  <c r="G922" i="1"/>
  <c r="H922" i="1"/>
  <c r="I922" i="1"/>
  <c r="J922" i="1"/>
  <c r="K922" i="1"/>
  <c r="L922" i="1"/>
  <c r="M922" i="1"/>
  <c r="N922" i="1"/>
  <c r="O922" i="1"/>
  <c r="P922" i="1"/>
  <c r="Q922" i="1"/>
  <c r="A923" i="1"/>
  <c r="B923" i="1"/>
  <c r="C923" i="1"/>
  <c r="D923" i="1"/>
  <c r="E923" i="1"/>
  <c r="F923" i="1"/>
  <c r="G923" i="1"/>
  <c r="H923" i="1"/>
  <c r="I923" i="1"/>
  <c r="J923" i="1"/>
  <c r="K923" i="1"/>
  <c r="L923" i="1"/>
  <c r="M923" i="1"/>
  <c r="N923" i="1"/>
  <c r="O923" i="1"/>
  <c r="P923" i="1"/>
  <c r="Q923" i="1"/>
  <c r="A924" i="1"/>
  <c r="B924" i="1"/>
  <c r="C924" i="1"/>
  <c r="D924" i="1"/>
  <c r="E924" i="1"/>
  <c r="F924" i="1"/>
  <c r="G924" i="1"/>
  <c r="H924" i="1"/>
  <c r="I924" i="1"/>
  <c r="J924" i="1"/>
  <c r="K924" i="1"/>
  <c r="L924" i="1"/>
  <c r="M924" i="1"/>
  <c r="N924" i="1"/>
  <c r="O924" i="1"/>
  <c r="P924" i="1"/>
  <c r="Q924" i="1"/>
  <c r="A925" i="1"/>
  <c r="B925" i="1"/>
  <c r="C925" i="1"/>
  <c r="D925" i="1"/>
  <c r="E925" i="1"/>
  <c r="F925" i="1"/>
  <c r="G925" i="1"/>
  <c r="H925" i="1"/>
  <c r="I925" i="1"/>
  <c r="J925" i="1"/>
  <c r="K925" i="1"/>
  <c r="L925" i="1"/>
  <c r="M925" i="1"/>
  <c r="N925" i="1"/>
  <c r="O925" i="1"/>
  <c r="P925" i="1"/>
  <c r="Q925" i="1"/>
  <c r="A926" i="1"/>
  <c r="B926" i="1"/>
  <c r="C926" i="1"/>
  <c r="E926" i="1"/>
  <c r="F926" i="1"/>
  <c r="G926" i="1"/>
  <c r="H926" i="1"/>
  <c r="I926" i="1"/>
  <c r="J926" i="1"/>
  <c r="K926" i="1"/>
  <c r="L926" i="1"/>
  <c r="M926" i="1"/>
  <c r="N926" i="1"/>
  <c r="O926" i="1"/>
  <c r="P926" i="1"/>
  <c r="Q926" i="1"/>
  <c r="A927" i="1"/>
  <c r="B927" i="1"/>
  <c r="C927" i="1"/>
  <c r="D927" i="1"/>
  <c r="E927" i="1"/>
  <c r="F927" i="1"/>
  <c r="G927" i="1"/>
  <c r="H927" i="1"/>
  <c r="I927" i="1"/>
  <c r="J927" i="1"/>
  <c r="K927" i="1"/>
  <c r="L927" i="1"/>
  <c r="M927" i="1"/>
  <c r="N927" i="1"/>
  <c r="O927" i="1"/>
  <c r="P927" i="1"/>
  <c r="Q927" i="1"/>
  <c r="A928" i="1"/>
  <c r="B928" i="1"/>
  <c r="C928" i="1"/>
  <c r="E928" i="1"/>
  <c r="F928" i="1"/>
  <c r="G928" i="1"/>
  <c r="H928" i="1"/>
  <c r="I928" i="1"/>
  <c r="J928" i="1"/>
  <c r="K928" i="1"/>
  <c r="L928" i="1"/>
  <c r="M928" i="1"/>
  <c r="N928" i="1"/>
  <c r="O928" i="1"/>
  <c r="P928" i="1"/>
  <c r="Q928" i="1"/>
  <c r="A929" i="1"/>
  <c r="B929" i="1"/>
  <c r="C929" i="1"/>
  <c r="D929" i="1"/>
  <c r="E929" i="1"/>
  <c r="F929" i="1"/>
  <c r="G929" i="1"/>
  <c r="H929" i="1"/>
  <c r="I929" i="1"/>
  <c r="J929" i="1"/>
  <c r="K929" i="1"/>
  <c r="L929" i="1"/>
  <c r="M929" i="1"/>
  <c r="N929" i="1"/>
  <c r="O929" i="1"/>
  <c r="P929" i="1"/>
  <c r="Q929" i="1"/>
  <c r="A930" i="1"/>
  <c r="B930" i="1"/>
  <c r="C930" i="1"/>
  <c r="D930" i="1"/>
  <c r="E930" i="1"/>
  <c r="F930" i="1"/>
  <c r="G930" i="1"/>
  <c r="H930" i="1"/>
  <c r="I930" i="1"/>
  <c r="J930" i="1"/>
  <c r="K930" i="1"/>
  <c r="L930" i="1"/>
  <c r="M930" i="1"/>
  <c r="N930" i="1"/>
  <c r="O930" i="1"/>
  <c r="P930" i="1"/>
  <c r="Q930" i="1"/>
  <c r="A931" i="1"/>
  <c r="B931" i="1"/>
  <c r="C931" i="1"/>
  <c r="D931" i="1"/>
  <c r="E931" i="1"/>
  <c r="F931" i="1"/>
  <c r="G931" i="1"/>
  <c r="H931" i="1"/>
  <c r="I931" i="1"/>
  <c r="J931" i="1"/>
  <c r="K931" i="1"/>
  <c r="L931" i="1"/>
  <c r="M931" i="1"/>
  <c r="N931" i="1"/>
  <c r="O931" i="1"/>
  <c r="P931" i="1"/>
  <c r="Q931" i="1"/>
  <c r="A932" i="1"/>
  <c r="B932" i="1"/>
  <c r="C932" i="1"/>
  <c r="D932" i="1"/>
  <c r="E932" i="1"/>
  <c r="F932" i="1"/>
  <c r="G932" i="1"/>
  <c r="H932" i="1"/>
  <c r="I932" i="1"/>
  <c r="J932" i="1"/>
  <c r="K932" i="1"/>
  <c r="L932" i="1"/>
  <c r="M932" i="1"/>
  <c r="N932" i="1"/>
  <c r="O932" i="1"/>
  <c r="P932" i="1"/>
  <c r="Q932" i="1"/>
  <c r="A933" i="1"/>
  <c r="B933" i="1"/>
  <c r="C933" i="1"/>
  <c r="D933" i="1"/>
  <c r="E933" i="1"/>
  <c r="F933" i="1"/>
  <c r="G933" i="1"/>
  <c r="H933" i="1"/>
  <c r="I933" i="1"/>
  <c r="J933" i="1"/>
  <c r="K933" i="1"/>
  <c r="L933" i="1"/>
  <c r="M933" i="1"/>
  <c r="N933" i="1"/>
  <c r="O933" i="1"/>
  <c r="P933" i="1"/>
  <c r="Q933" i="1"/>
  <c r="A934" i="1"/>
  <c r="B934" i="1"/>
  <c r="C934" i="1"/>
  <c r="D934" i="1"/>
  <c r="E934" i="1"/>
  <c r="F934" i="1"/>
  <c r="G934" i="1"/>
  <c r="H934" i="1"/>
  <c r="I934" i="1"/>
  <c r="J934" i="1"/>
  <c r="K934" i="1"/>
  <c r="L934" i="1"/>
  <c r="M934" i="1"/>
  <c r="N934" i="1"/>
  <c r="O934" i="1"/>
  <c r="P934" i="1"/>
  <c r="Q934" i="1"/>
  <c r="A935" i="1"/>
  <c r="B935" i="1"/>
  <c r="C935" i="1"/>
  <c r="D935" i="1"/>
  <c r="E935" i="1"/>
  <c r="F935" i="1"/>
  <c r="G935" i="1"/>
  <c r="H935" i="1"/>
  <c r="I935" i="1"/>
  <c r="J935" i="1"/>
  <c r="K935" i="1"/>
  <c r="L935" i="1"/>
  <c r="M935" i="1"/>
  <c r="N935" i="1"/>
  <c r="O935" i="1"/>
  <c r="P935" i="1"/>
  <c r="Q935" i="1"/>
  <c r="A936" i="1"/>
  <c r="B936" i="1"/>
  <c r="C936" i="1"/>
  <c r="D936" i="1"/>
  <c r="E936" i="1"/>
  <c r="F936" i="1"/>
  <c r="G936" i="1"/>
  <c r="H936" i="1"/>
  <c r="I936" i="1"/>
  <c r="J936" i="1"/>
  <c r="K936" i="1"/>
  <c r="L936" i="1"/>
  <c r="M936" i="1"/>
  <c r="N936" i="1"/>
  <c r="O936" i="1"/>
  <c r="P936" i="1"/>
  <c r="Q936" i="1"/>
  <c r="A937" i="1"/>
  <c r="B937" i="1"/>
  <c r="C937" i="1"/>
  <c r="E937" i="1"/>
  <c r="F937" i="1"/>
  <c r="G937" i="1"/>
  <c r="H937" i="1"/>
  <c r="I937" i="1"/>
  <c r="J937" i="1"/>
  <c r="K937" i="1"/>
  <c r="L937" i="1"/>
  <c r="M937" i="1"/>
  <c r="N937" i="1"/>
  <c r="O937" i="1"/>
  <c r="P937" i="1"/>
  <c r="Q937" i="1"/>
  <c r="A938" i="1"/>
  <c r="B938" i="1"/>
  <c r="C938" i="1"/>
  <c r="D938" i="1"/>
  <c r="E938" i="1"/>
  <c r="F938" i="1"/>
  <c r="G938" i="1"/>
  <c r="H938" i="1"/>
  <c r="I938" i="1"/>
  <c r="J938" i="1"/>
  <c r="K938" i="1"/>
  <c r="L938" i="1"/>
  <c r="M938" i="1"/>
  <c r="N938" i="1"/>
  <c r="O938" i="1"/>
  <c r="P938" i="1"/>
  <c r="Q938" i="1"/>
  <c r="A939" i="1"/>
  <c r="B939" i="1"/>
  <c r="C939" i="1"/>
  <c r="D939" i="1"/>
  <c r="E939" i="1"/>
  <c r="F939" i="1"/>
  <c r="G939" i="1"/>
  <c r="H939" i="1"/>
  <c r="I939" i="1"/>
  <c r="J939" i="1"/>
  <c r="K939" i="1"/>
  <c r="L939" i="1"/>
  <c r="M939" i="1"/>
  <c r="N939" i="1"/>
  <c r="O939" i="1"/>
  <c r="P939" i="1"/>
  <c r="Q939" i="1"/>
  <c r="A940" i="1"/>
  <c r="B940" i="1"/>
  <c r="C940" i="1"/>
  <c r="D940" i="1"/>
  <c r="E940" i="1"/>
  <c r="F940" i="1"/>
  <c r="G940" i="1"/>
  <c r="H940" i="1"/>
  <c r="I940" i="1"/>
  <c r="J940" i="1"/>
  <c r="K940" i="1"/>
  <c r="L940" i="1"/>
  <c r="M940" i="1"/>
  <c r="N940" i="1"/>
  <c r="O940" i="1"/>
  <c r="P940" i="1"/>
  <c r="Q940" i="1"/>
  <c r="A941" i="1"/>
  <c r="B941" i="1"/>
  <c r="C941" i="1"/>
  <c r="D941" i="1"/>
  <c r="E941" i="1"/>
  <c r="F941" i="1"/>
  <c r="G941" i="1"/>
  <c r="H941" i="1"/>
  <c r="I941" i="1"/>
  <c r="J941" i="1"/>
  <c r="K941" i="1"/>
  <c r="L941" i="1"/>
  <c r="M941" i="1"/>
  <c r="N941" i="1"/>
  <c r="O941" i="1"/>
  <c r="P941" i="1"/>
  <c r="Q941" i="1"/>
  <c r="A942" i="1"/>
  <c r="B942" i="1"/>
  <c r="C942" i="1"/>
  <c r="D942" i="1"/>
  <c r="E942" i="1"/>
  <c r="F942" i="1"/>
  <c r="G942" i="1"/>
  <c r="H942" i="1"/>
  <c r="I942" i="1"/>
  <c r="J942" i="1"/>
  <c r="K942" i="1"/>
  <c r="L942" i="1"/>
  <c r="M942" i="1"/>
  <c r="N942" i="1"/>
  <c r="O942" i="1"/>
  <c r="P942" i="1"/>
  <c r="Q942" i="1"/>
  <c r="A943" i="1"/>
  <c r="B943" i="1"/>
  <c r="C943" i="1"/>
  <c r="D943" i="1"/>
  <c r="E943" i="1"/>
  <c r="F943" i="1"/>
  <c r="G943" i="1"/>
  <c r="H943" i="1"/>
  <c r="I943" i="1"/>
  <c r="J943" i="1"/>
  <c r="K943" i="1"/>
  <c r="L943" i="1"/>
  <c r="M943" i="1"/>
  <c r="N943" i="1"/>
  <c r="O943" i="1"/>
  <c r="P943" i="1"/>
  <c r="Q943" i="1"/>
  <c r="A944" i="1"/>
  <c r="B944" i="1"/>
  <c r="C944" i="1"/>
  <c r="D944" i="1"/>
  <c r="E944" i="1"/>
  <c r="F944" i="1"/>
  <c r="G944" i="1"/>
  <c r="H944" i="1"/>
  <c r="I944" i="1"/>
  <c r="J944" i="1"/>
  <c r="K944" i="1"/>
  <c r="L944" i="1"/>
  <c r="M944" i="1"/>
  <c r="N944" i="1"/>
  <c r="O944" i="1"/>
  <c r="P944" i="1"/>
  <c r="Q944" i="1"/>
  <c r="A945" i="1"/>
  <c r="B945" i="1"/>
  <c r="C945" i="1"/>
  <c r="D945" i="1"/>
  <c r="E945" i="1"/>
  <c r="F945" i="1"/>
  <c r="G945" i="1"/>
  <c r="H945" i="1"/>
  <c r="I945" i="1"/>
  <c r="J945" i="1"/>
  <c r="K945" i="1"/>
  <c r="L945" i="1"/>
  <c r="M945" i="1"/>
  <c r="N945" i="1"/>
  <c r="O945" i="1"/>
  <c r="P945" i="1"/>
  <c r="Q945" i="1"/>
  <c r="A946" i="1"/>
  <c r="B946" i="1"/>
  <c r="C946" i="1"/>
  <c r="D946" i="1"/>
  <c r="E946" i="1"/>
  <c r="F946" i="1"/>
  <c r="G946" i="1"/>
  <c r="H946" i="1"/>
  <c r="I946" i="1"/>
  <c r="J946" i="1"/>
  <c r="K946" i="1"/>
  <c r="L946" i="1"/>
  <c r="M946" i="1"/>
  <c r="N946" i="1"/>
  <c r="O946" i="1"/>
  <c r="P946" i="1"/>
  <c r="Q946" i="1"/>
  <c r="A947" i="1"/>
  <c r="B947" i="1"/>
  <c r="C947" i="1"/>
  <c r="D947" i="1"/>
  <c r="E947" i="1"/>
  <c r="F947" i="1"/>
  <c r="G947" i="1"/>
  <c r="H947" i="1"/>
  <c r="I947" i="1"/>
  <c r="J947" i="1"/>
  <c r="K947" i="1"/>
  <c r="L947" i="1"/>
  <c r="M947" i="1"/>
  <c r="N947" i="1"/>
  <c r="O947" i="1"/>
  <c r="P947" i="1"/>
  <c r="Q947" i="1"/>
  <c r="A948" i="1"/>
  <c r="B948" i="1"/>
  <c r="C948" i="1"/>
  <c r="E948" i="1"/>
  <c r="F948" i="1"/>
  <c r="G948" i="1"/>
  <c r="H948" i="1"/>
  <c r="I948" i="1"/>
  <c r="J948" i="1"/>
  <c r="K948" i="1"/>
  <c r="L948" i="1"/>
  <c r="M948" i="1"/>
  <c r="N948" i="1"/>
  <c r="O948" i="1"/>
  <c r="P948" i="1"/>
  <c r="Q948" i="1"/>
  <c r="A949" i="1"/>
  <c r="B949" i="1"/>
  <c r="C949" i="1"/>
  <c r="E949" i="1"/>
  <c r="F949" i="1"/>
  <c r="G949" i="1"/>
  <c r="H949" i="1"/>
  <c r="I949" i="1"/>
  <c r="J949" i="1"/>
  <c r="K949" i="1"/>
  <c r="L949" i="1"/>
  <c r="M949" i="1"/>
  <c r="N949" i="1"/>
  <c r="O949" i="1"/>
  <c r="P949" i="1"/>
  <c r="Q949" i="1"/>
  <c r="A950" i="1"/>
  <c r="B950" i="1"/>
  <c r="C950" i="1"/>
  <c r="D950" i="1"/>
  <c r="E950" i="1"/>
  <c r="F950" i="1"/>
  <c r="G950" i="1"/>
  <c r="H950" i="1"/>
  <c r="I950" i="1"/>
  <c r="J950" i="1"/>
  <c r="K950" i="1"/>
  <c r="L950" i="1"/>
  <c r="M950" i="1"/>
  <c r="N950" i="1"/>
  <c r="O950" i="1"/>
  <c r="P950" i="1"/>
  <c r="Q950" i="1"/>
  <c r="A951" i="1"/>
  <c r="B951" i="1"/>
  <c r="C951" i="1"/>
  <c r="E951" i="1"/>
  <c r="F951" i="1"/>
  <c r="G951" i="1"/>
  <c r="H951" i="1"/>
  <c r="I951" i="1"/>
  <c r="J951" i="1"/>
  <c r="K951" i="1"/>
  <c r="L951" i="1"/>
  <c r="M951" i="1"/>
  <c r="N951" i="1"/>
  <c r="O951" i="1"/>
  <c r="P951" i="1"/>
  <c r="Q951" i="1"/>
  <c r="A952" i="1"/>
  <c r="B952" i="1"/>
  <c r="C952" i="1"/>
  <c r="E952" i="1"/>
  <c r="F952" i="1"/>
  <c r="G952" i="1"/>
  <c r="H952" i="1"/>
  <c r="I952" i="1"/>
  <c r="J952" i="1"/>
  <c r="K952" i="1"/>
  <c r="L952" i="1"/>
  <c r="M952" i="1"/>
  <c r="N952" i="1"/>
  <c r="O952" i="1"/>
  <c r="P952" i="1"/>
  <c r="Q952" i="1"/>
  <c r="A953" i="1"/>
  <c r="B953" i="1"/>
  <c r="C953" i="1"/>
  <c r="E953" i="1"/>
  <c r="F953" i="1"/>
  <c r="G953" i="1"/>
  <c r="H953" i="1"/>
  <c r="I953" i="1"/>
  <c r="J953" i="1"/>
  <c r="K953" i="1"/>
  <c r="L953" i="1"/>
  <c r="M953" i="1"/>
  <c r="N953" i="1"/>
  <c r="O953" i="1"/>
  <c r="P953" i="1"/>
  <c r="Q953" i="1"/>
  <c r="A954" i="1"/>
  <c r="B954" i="1"/>
  <c r="C954" i="1"/>
  <c r="E954" i="1"/>
  <c r="F954" i="1"/>
  <c r="G954" i="1"/>
  <c r="H954" i="1"/>
  <c r="I954" i="1"/>
  <c r="J954" i="1"/>
  <c r="K954" i="1"/>
  <c r="L954" i="1"/>
  <c r="M954" i="1"/>
  <c r="N954" i="1"/>
  <c r="O954" i="1"/>
  <c r="P954" i="1"/>
  <c r="Q954" i="1"/>
  <c r="A955" i="1"/>
  <c r="B955" i="1"/>
  <c r="C955" i="1"/>
  <c r="D955" i="1"/>
  <c r="E955" i="1"/>
  <c r="F955" i="1"/>
  <c r="G955" i="1"/>
  <c r="H955" i="1"/>
  <c r="I955" i="1"/>
  <c r="J955" i="1"/>
  <c r="K955" i="1"/>
  <c r="L955" i="1"/>
  <c r="M955" i="1"/>
  <c r="N955" i="1"/>
  <c r="O955" i="1"/>
  <c r="P955" i="1"/>
  <c r="Q955" i="1"/>
  <c r="A956" i="1"/>
  <c r="B956" i="1"/>
  <c r="C956" i="1"/>
  <c r="D956" i="1"/>
  <c r="E956" i="1"/>
  <c r="F956" i="1"/>
  <c r="G956" i="1"/>
  <c r="H956" i="1"/>
  <c r="I956" i="1"/>
  <c r="J956" i="1"/>
  <c r="K956" i="1"/>
  <c r="L956" i="1"/>
  <c r="M956" i="1"/>
  <c r="N956" i="1"/>
  <c r="O956" i="1"/>
  <c r="P956" i="1"/>
  <c r="Q956" i="1"/>
  <c r="A957" i="1"/>
  <c r="B957" i="1"/>
  <c r="C957" i="1"/>
  <c r="D957" i="1"/>
  <c r="E957" i="1"/>
  <c r="F957" i="1"/>
  <c r="G957" i="1"/>
  <c r="H957" i="1"/>
  <c r="I957" i="1"/>
  <c r="J957" i="1"/>
  <c r="K957" i="1"/>
  <c r="L957" i="1"/>
  <c r="M957" i="1"/>
  <c r="N957" i="1"/>
  <c r="O957" i="1"/>
  <c r="P957" i="1"/>
  <c r="Q957" i="1"/>
  <c r="A958" i="1"/>
  <c r="B958" i="1"/>
  <c r="C958" i="1"/>
  <c r="D958" i="1"/>
  <c r="E958" i="1"/>
  <c r="F958" i="1"/>
  <c r="G958" i="1"/>
  <c r="H958" i="1"/>
  <c r="I958" i="1"/>
  <c r="J958" i="1"/>
  <c r="K958" i="1"/>
  <c r="L958" i="1"/>
  <c r="M958" i="1"/>
  <c r="N958" i="1"/>
  <c r="O958" i="1"/>
  <c r="P958" i="1"/>
  <c r="Q958" i="1"/>
  <c r="A959" i="1"/>
  <c r="B959" i="1"/>
  <c r="C959" i="1"/>
  <c r="E959" i="1"/>
  <c r="F959" i="1"/>
  <c r="G959" i="1"/>
  <c r="H959" i="1"/>
  <c r="I959" i="1"/>
  <c r="J959" i="1"/>
  <c r="K959" i="1"/>
  <c r="L959" i="1"/>
  <c r="M959" i="1"/>
  <c r="N959" i="1"/>
  <c r="O959" i="1"/>
  <c r="P959" i="1"/>
  <c r="Q959" i="1"/>
  <c r="A960" i="1"/>
  <c r="B960" i="1"/>
  <c r="C960" i="1"/>
  <c r="E960" i="1"/>
  <c r="F960" i="1"/>
  <c r="G960" i="1"/>
  <c r="H960" i="1"/>
  <c r="I960" i="1"/>
  <c r="J960" i="1"/>
  <c r="K960" i="1"/>
  <c r="L960" i="1"/>
  <c r="M960" i="1"/>
  <c r="N960" i="1"/>
  <c r="O960" i="1"/>
  <c r="P960" i="1"/>
  <c r="Q960" i="1"/>
  <c r="A961" i="1"/>
  <c r="B961" i="1"/>
  <c r="C961" i="1"/>
  <c r="D961" i="1"/>
  <c r="E961" i="1"/>
  <c r="F961" i="1"/>
  <c r="G961" i="1"/>
  <c r="H961" i="1"/>
  <c r="I961" i="1"/>
  <c r="J961" i="1"/>
  <c r="K961" i="1"/>
  <c r="L961" i="1"/>
  <c r="M961" i="1"/>
  <c r="N961" i="1"/>
  <c r="O961" i="1"/>
  <c r="P961" i="1"/>
  <c r="Q961" i="1"/>
  <c r="A962" i="1"/>
  <c r="B962" i="1"/>
  <c r="C962" i="1"/>
  <c r="E962" i="1"/>
  <c r="F962" i="1"/>
  <c r="G962" i="1"/>
  <c r="H962" i="1"/>
  <c r="I962" i="1"/>
  <c r="J962" i="1"/>
  <c r="K962" i="1"/>
  <c r="L962" i="1"/>
  <c r="M962" i="1"/>
  <c r="N962" i="1"/>
  <c r="O962" i="1"/>
  <c r="P962" i="1"/>
  <c r="Q962" i="1"/>
  <c r="A963" i="1"/>
  <c r="B963" i="1"/>
  <c r="C963" i="1"/>
  <c r="D963" i="1"/>
  <c r="E963" i="1"/>
  <c r="F963" i="1"/>
  <c r="G963" i="1"/>
  <c r="H963" i="1"/>
  <c r="I963" i="1"/>
  <c r="J963" i="1"/>
  <c r="K963" i="1"/>
  <c r="L963" i="1"/>
  <c r="M963" i="1"/>
  <c r="N963" i="1"/>
  <c r="O963" i="1"/>
  <c r="P963" i="1"/>
  <c r="Q963" i="1"/>
  <c r="A964" i="1"/>
  <c r="B964" i="1"/>
  <c r="C964" i="1"/>
  <c r="D964" i="1"/>
  <c r="E964" i="1"/>
  <c r="F964" i="1"/>
  <c r="G964" i="1"/>
  <c r="H964" i="1"/>
  <c r="I964" i="1"/>
  <c r="J964" i="1"/>
  <c r="K964" i="1"/>
  <c r="L964" i="1"/>
  <c r="M964" i="1"/>
  <c r="N964" i="1"/>
  <c r="O964" i="1"/>
  <c r="P964" i="1"/>
  <c r="Q964" i="1"/>
  <c r="A965" i="1"/>
  <c r="B965" i="1"/>
  <c r="C965" i="1"/>
  <c r="D965" i="1"/>
  <c r="E965" i="1"/>
  <c r="F965" i="1"/>
  <c r="G965" i="1"/>
  <c r="H965" i="1"/>
  <c r="I965" i="1"/>
  <c r="J965" i="1"/>
  <c r="K965" i="1"/>
  <c r="L965" i="1"/>
  <c r="M965" i="1"/>
  <c r="N965" i="1"/>
  <c r="O965" i="1"/>
  <c r="P965" i="1"/>
  <c r="Q965" i="1"/>
  <c r="A966" i="1"/>
  <c r="B966" i="1"/>
  <c r="C966" i="1"/>
  <c r="D966" i="1"/>
  <c r="E966" i="1"/>
  <c r="F966" i="1"/>
  <c r="G966" i="1"/>
  <c r="H966" i="1"/>
  <c r="I966" i="1"/>
  <c r="J966" i="1"/>
  <c r="K966" i="1"/>
  <c r="L966" i="1"/>
  <c r="M966" i="1"/>
  <c r="N966" i="1"/>
  <c r="O966" i="1"/>
  <c r="P966" i="1"/>
  <c r="Q966" i="1"/>
  <c r="A967" i="1"/>
  <c r="B967" i="1"/>
  <c r="C967" i="1"/>
  <c r="E967" i="1"/>
  <c r="F967" i="1"/>
  <c r="G967" i="1"/>
  <c r="H967" i="1"/>
  <c r="I967" i="1"/>
  <c r="J967" i="1"/>
  <c r="K967" i="1"/>
  <c r="L967" i="1"/>
  <c r="M967" i="1"/>
  <c r="N967" i="1"/>
  <c r="O967" i="1"/>
  <c r="P967" i="1"/>
  <c r="Q967" i="1"/>
  <c r="A968" i="1"/>
  <c r="B968" i="1"/>
  <c r="C968" i="1"/>
  <c r="D968" i="1"/>
  <c r="E968" i="1"/>
  <c r="F968" i="1"/>
  <c r="G968" i="1"/>
  <c r="H968" i="1"/>
  <c r="I968" i="1"/>
  <c r="J968" i="1"/>
  <c r="K968" i="1"/>
  <c r="L968" i="1"/>
  <c r="M968" i="1"/>
  <c r="N968" i="1"/>
  <c r="O968" i="1"/>
  <c r="P968" i="1"/>
  <c r="Q968" i="1"/>
  <c r="A969" i="1"/>
  <c r="B969" i="1"/>
  <c r="C969" i="1"/>
  <c r="E969" i="1"/>
  <c r="F969" i="1"/>
  <c r="G969" i="1"/>
  <c r="H969" i="1"/>
  <c r="I969" i="1"/>
  <c r="J969" i="1"/>
  <c r="K969" i="1"/>
  <c r="L969" i="1"/>
  <c r="M969" i="1"/>
  <c r="N969" i="1"/>
  <c r="O969" i="1"/>
  <c r="P969" i="1"/>
  <c r="Q969" i="1"/>
  <c r="A970" i="1"/>
  <c r="B970" i="1"/>
  <c r="C970" i="1"/>
  <c r="E970" i="1"/>
  <c r="F970" i="1"/>
  <c r="G970" i="1"/>
  <c r="H970" i="1"/>
  <c r="I970" i="1"/>
  <c r="J970" i="1"/>
  <c r="K970" i="1"/>
  <c r="L970" i="1"/>
  <c r="M970" i="1"/>
  <c r="N970" i="1"/>
  <c r="O970" i="1"/>
  <c r="P970" i="1"/>
  <c r="Q970" i="1"/>
  <c r="A971" i="1"/>
  <c r="B971" i="1"/>
  <c r="C971" i="1"/>
  <c r="D971" i="1"/>
  <c r="E971" i="1"/>
  <c r="F971" i="1"/>
  <c r="G971" i="1"/>
  <c r="H971" i="1"/>
  <c r="I971" i="1"/>
  <c r="J971" i="1"/>
  <c r="K971" i="1"/>
  <c r="L971" i="1"/>
  <c r="M971" i="1"/>
  <c r="N971" i="1"/>
  <c r="O971" i="1"/>
  <c r="P971" i="1"/>
  <c r="Q971" i="1"/>
  <c r="A972" i="1"/>
  <c r="B972" i="1"/>
  <c r="C972" i="1"/>
  <c r="D972" i="1"/>
  <c r="E972" i="1"/>
  <c r="F972" i="1"/>
  <c r="G972" i="1"/>
  <c r="H972" i="1"/>
  <c r="I972" i="1"/>
  <c r="J972" i="1"/>
  <c r="K972" i="1"/>
  <c r="L972" i="1"/>
  <c r="M972" i="1"/>
  <c r="N972" i="1"/>
  <c r="O972" i="1"/>
  <c r="P972" i="1"/>
  <c r="Q972" i="1"/>
  <c r="A973" i="1"/>
  <c r="B973" i="1"/>
  <c r="C973" i="1"/>
  <c r="D973" i="1"/>
  <c r="E973" i="1"/>
  <c r="F973" i="1"/>
  <c r="G973" i="1"/>
  <c r="H973" i="1"/>
  <c r="I973" i="1"/>
  <c r="J973" i="1"/>
  <c r="K973" i="1"/>
  <c r="L973" i="1"/>
  <c r="M973" i="1"/>
  <c r="N973" i="1"/>
  <c r="O973" i="1"/>
  <c r="P973" i="1"/>
  <c r="Q973" i="1"/>
  <c r="A974" i="1"/>
  <c r="B974" i="1"/>
  <c r="C974" i="1"/>
  <c r="D974" i="1"/>
  <c r="E974" i="1"/>
  <c r="F974" i="1"/>
  <c r="G974" i="1"/>
  <c r="H974" i="1"/>
  <c r="I974" i="1"/>
  <c r="J974" i="1"/>
  <c r="K974" i="1"/>
  <c r="L974" i="1"/>
  <c r="M974" i="1"/>
  <c r="N974" i="1"/>
  <c r="O974" i="1"/>
  <c r="P974" i="1"/>
  <c r="Q974" i="1"/>
  <c r="A975" i="1"/>
  <c r="B975" i="1"/>
  <c r="C975" i="1"/>
  <c r="D975" i="1"/>
  <c r="E975" i="1"/>
  <c r="F975" i="1"/>
  <c r="G975" i="1"/>
  <c r="H975" i="1"/>
  <c r="I975" i="1"/>
  <c r="J975" i="1"/>
  <c r="K975" i="1"/>
  <c r="L975" i="1"/>
  <c r="M975" i="1"/>
  <c r="N975" i="1"/>
  <c r="O975" i="1"/>
  <c r="P975" i="1"/>
  <c r="Q975" i="1"/>
  <c r="A976" i="1"/>
  <c r="B976" i="1"/>
  <c r="C976" i="1"/>
  <c r="D976" i="1"/>
  <c r="E976" i="1"/>
  <c r="F976" i="1"/>
  <c r="G976" i="1"/>
  <c r="H976" i="1"/>
  <c r="I976" i="1"/>
  <c r="J976" i="1"/>
  <c r="K976" i="1"/>
  <c r="L976" i="1"/>
  <c r="M976" i="1"/>
  <c r="N976" i="1"/>
  <c r="O976" i="1"/>
  <c r="P976" i="1"/>
  <c r="Q976" i="1"/>
  <c r="A977" i="1"/>
  <c r="B977" i="1"/>
  <c r="C977" i="1"/>
  <c r="D977" i="1"/>
  <c r="E977" i="1"/>
  <c r="F977" i="1"/>
  <c r="G977" i="1"/>
  <c r="H977" i="1"/>
  <c r="I977" i="1"/>
  <c r="J977" i="1"/>
  <c r="K977" i="1"/>
  <c r="L977" i="1"/>
  <c r="M977" i="1"/>
  <c r="N977" i="1"/>
  <c r="O977" i="1"/>
  <c r="P977" i="1"/>
  <c r="Q977" i="1"/>
  <c r="A978" i="1"/>
  <c r="B978" i="1"/>
  <c r="C978" i="1"/>
  <c r="D978" i="1"/>
  <c r="E978" i="1"/>
  <c r="F978" i="1"/>
  <c r="G978" i="1"/>
  <c r="H978" i="1"/>
  <c r="I978" i="1"/>
  <c r="J978" i="1"/>
  <c r="K978" i="1"/>
  <c r="L978" i="1"/>
  <c r="M978" i="1"/>
  <c r="N978" i="1"/>
  <c r="O978" i="1"/>
  <c r="P978" i="1"/>
  <c r="Q978" i="1"/>
  <c r="A979" i="1"/>
  <c r="B979" i="1"/>
  <c r="C979" i="1"/>
  <c r="E979" i="1"/>
  <c r="F979" i="1"/>
  <c r="G979" i="1"/>
  <c r="H979" i="1"/>
  <c r="I979" i="1"/>
  <c r="J979" i="1"/>
  <c r="K979" i="1"/>
  <c r="L979" i="1"/>
  <c r="M979" i="1"/>
  <c r="N979" i="1"/>
  <c r="O979" i="1"/>
  <c r="P979" i="1"/>
  <c r="Q979" i="1"/>
  <c r="A980" i="1"/>
  <c r="B980" i="1"/>
  <c r="C980" i="1"/>
  <c r="D980" i="1"/>
  <c r="E980" i="1"/>
  <c r="F980" i="1"/>
  <c r="G980" i="1"/>
  <c r="H980" i="1"/>
  <c r="I980" i="1"/>
  <c r="J980" i="1"/>
  <c r="K980" i="1"/>
  <c r="L980" i="1"/>
  <c r="M980" i="1"/>
  <c r="N980" i="1"/>
  <c r="O980" i="1"/>
  <c r="P980" i="1"/>
  <c r="Q980" i="1"/>
  <c r="A981" i="1"/>
  <c r="B981" i="1"/>
  <c r="C981" i="1"/>
  <c r="D981" i="1"/>
  <c r="E981" i="1"/>
  <c r="F981" i="1"/>
  <c r="G981" i="1"/>
  <c r="H981" i="1"/>
  <c r="I981" i="1"/>
  <c r="J981" i="1"/>
  <c r="K981" i="1"/>
  <c r="L981" i="1"/>
  <c r="M981" i="1"/>
  <c r="N981" i="1"/>
  <c r="O981" i="1"/>
  <c r="P981" i="1"/>
  <c r="Q981" i="1"/>
  <c r="A982" i="1"/>
  <c r="B982" i="1"/>
  <c r="C982" i="1"/>
  <c r="D982" i="1"/>
  <c r="E982" i="1"/>
  <c r="F982" i="1"/>
  <c r="G982" i="1"/>
  <c r="H982" i="1"/>
  <c r="I982" i="1"/>
  <c r="J982" i="1"/>
  <c r="K982" i="1"/>
  <c r="L982" i="1"/>
  <c r="M982" i="1"/>
  <c r="N982" i="1"/>
  <c r="O982" i="1"/>
  <c r="P982" i="1"/>
  <c r="Q982" i="1"/>
  <c r="A983" i="1"/>
  <c r="B983" i="1"/>
  <c r="C983" i="1"/>
  <c r="E983" i="1"/>
  <c r="F983" i="1"/>
  <c r="G983" i="1"/>
  <c r="H983" i="1"/>
  <c r="I983" i="1"/>
  <c r="J983" i="1"/>
  <c r="K983" i="1"/>
  <c r="L983" i="1"/>
  <c r="M983" i="1"/>
  <c r="N983" i="1"/>
  <c r="O983" i="1"/>
  <c r="P983" i="1"/>
  <c r="Q983" i="1"/>
  <c r="A984" i="1"/>
  <c r="B984" i="1"/>
  <c r="C984" i="1"/>
  <c r="D984" i="1"/>
  <c r="E984" i="1"/>
  <c r="F984" i="1"/>
  <c r="G984" i="1"/>
  <c r="H984" i="1"/>
  <c r="I984" i="1"/>
  <c r="J984" i="1"/>
  <c r="K984" i="1"/>
  <c r="L984" i="1"/>
  <c r="M984" i="1"/>
  <c r="N984" i="1"/>
  <c r="O984" i="1"/>
  <c r="P984" i="1"/>
  <c r="Q984" i="1"/>
  <c r="A985" i="1"/>
  <c r="B985" i="1"/>
  <c r="C985" i="1"/>
  <c r="D985" i="1"/>
  <c r="E985" i="1"/>
  <c r="F985" i="1"/>
  <c r="G985" i="1"/>
  <c r="H985" i="1"/>
  <c r="I985" i="1"/>
  <c r="J985" i="1"/>
  <c r="K985" i="1"/>
  <c r="L985" i="1"/>
  <c r="M985" i="1"/>
  <c r="N985" i="1"/>
  <c r="O985" i="1"/>
  <c r="P985" i="1"/>
  <c r="Q985" i="1"/>
  <c r="A986" i="1"/>
  <c r="B986" i="1"/>
  <c r="C986" i="1"/>
  <c r="E986" i="1"/>
  <c r="F986" i="1"/>
  <c r="G986" i="1"/>
  <c r="H986" i="1"/>
  <c r="I986" i="1"/>
  <c r="J986" i="1"/>
  <c r="K986" i="1"/>
  <c r="L986" i="1"/>
  <c r="M986" i="1"/>
  <c r="N986" i="1"/>
  <c r="O986" i="1"/>
  <c r="P986" i="1"/>
  <c r="Q986" i="1"/>
  <c r="A987" i="1"/>
  <c r="B987" i="1"/>
  <c r="C987" i="1"/>
  <c r="E987" i="1"/>
  <c r="F987" i="1"/>
  <c r="G987" i="1"/>
  <c r="H987" i="1"/>
  <c r="I987" i="1"/>
  <c r="J987" i="1"/>
  <c r="K987" i="1"/>
  <c r="L987" i="1"/>
  <c r="M987" i="1"/>
  <c r="N987" i="1"/>
  <c r="O987" i="1"/>
  <c r="P987" i="1"/>
  <c r="Q987" i="1"/>
  <c r="A988" i="1"/>
  <c r="B988" i="1"/>
  <c r="C988" i="1"/>
  <c r="E988" i="1"/>
  <c r="F988" i="1"/>
  <c r="G988" i="1"/>
  <c r="H988" i="1"/>
  <c r="I988" i="1"/>
  <c r="J988" i="1"/>
  <c r="K988" i="1"/>
  <c r="L988" i="1"/>
  <c r="M988" i="1"/>
  <c r="N988" i="1"/>
  <c r="O988" i="1"/>
  <c r="P988" i="1"/>
  <c r="Q988" i="1"/>
  <c r="A989" i="1"/>
  <c r="B989" i="1"/>
  <c r="C989" i="1"/>
  <c r="D989" i="1"/>
  <c r="E989" i="1"/>
  <c r="F989" i="1"/>
  <c r="G989" i="1"/>
  <c r="H989" i="1"/>
  <c r="I989" i="1"/>
  <c r="J989" i="1"/>
  <c r="K989" i="1"/>
  <c r="L989" i="1"/>
  <c r="M989" i="1"/>
  <c r="N989" i="1"/>
  <c r="O989" i="1"/>
  <c r="P989" i="1"/>
  <c r="Q989" i="1"/>
  <c r="A990" i="1"/>
  <c r="B990" i="1"/>
  <c r="C990" i="1"/>
  <c r="E990" i="1"/>
  <c r="F990" i="1"/>
  <c r="G990" i="1"/>
  <c r="H990" i="1"/>
  <c r="I990" i="1"/>
  <c r="J990" i="1"/>
  <c r="K990" i="1"/>
  <c r="L990" i="1"/>
  <c r="M990" i="1"/>
  <c r="N990" i="1"/>
  <c r="O990" i="1"/>
  <c r="P990" i="1"/>
  <c r="Q990" i="1"/>
  <c r="A991" i="1"/>
  <c r="B991" i="1"/>
  <c r="C991" i="1"/>
  <c r="D991" i="1"/>
  <c r="E991" i="1"/>
  <c r="F991" i="1"/>
  <c r="G991" i="1"/>
  <c r="H991" i="1"/>
  <c r="I991" i="1"/>
  <c r="J991" i="1"/>
  <c r="K991" i="1"/>
  <c r="L991" i="1"/>
  <c r="M991" i="1"/>
  <c r="N991" i="1"/>
  <c r="O991" i="1"/>
  <c r="P991" i="1"/>
  <c r="Q991" i="1"/>
  <c r="A992" i="1"/>
  <c r="B992" i="1"/>
  <c r="C992" i="1"/>
  <c r="D992" i="1"/>
  <c r="E992" i="1"/>
  <c r="F992" i="1"/>
  <c r="G992" i="1"/>
  <c r="H992" i="1"/>
  <c r="I992" i="1"/>
  <c r="J992" i="1"/>
  <c r="K992" i="1"/>
  <c r="L992" i="1"/>
  <c r="M992" i="1"/>
  <c r="N992" i="1"/>
  <c r="O992" i="1"/>
  <c r="P992" i="1"/>
  <c r="Q992" i="1"/>
  <c r="A993" i="1"/>
  <c r="B993" i="1"/>
  <c r="C993" i="1"/>
  <c r="D993" i="1"/>
  <c r="E993" i="1"/>
  <c r="F993" i="1"/>
  <c r="G993" i="1"/>
  <c r="H993" i="1"/>
  <c r="I993" i="1"/>
  <c r="J993" i="1"/>
  <c r="K993" i="1"/>
  <c r="L993" i="1"/>
  <c r="M993" i="1"/>
  <c r="N993" i="1"/>
  <c r="O993" i="1"/>
  <c r="P993" i="1"/>
  <c r="Q993" i="1"/>
  <c r="A994" i="1"/>
  <c r="B994" i="1"/>
  <c r="C994" i="1"/>
  <c r="D994" i="1"/>
  <c r="E994" i="1"/>
  <c r="F994" i="1"/>
  <c r="G994" i="1"/>
  <c r="H994" i="1"/>
  <c r="I994" i="1"/>
  <c r="J994" i="1"/>
  <c r="K994" i="1"/>
  <c r="L994" i="1"/>
  <c r="M994" i="1"/>
  <c r="N994" i="1"/>
  <c r="O994" i="1"/>
  <c r="P994" i="1"/>
  <c r="Q994" i="1"/>
  <c r="A995" i="1"/>
  <c r="B995" i="1"/>
  <c r="C995" i="1"/>
  <c r="D995" i="1"/>
  <c r="E995" i="1"/>
  <c r="F995" i="1"/>
  <c r="G995" i="1"/>
  <c r="H995" i="1"/>
  <c r="I995" i="1"/>
  <c r="J995" i="1"/>
  <c r="K995" i="1"/>
  <c r="L995" i="1"/>
  <c r="M995" i="1"/>
  <c r="N995" i="1"/>
  <c r="O995" i="1"/>
  <c r="P995" i="1"/>
  <c r="Q995" i="1"/>
  <c r="A996" i="1"/>
  <c r="B996" i="1"/>
  <c r="C996" i="1"/>
  <c r="D996" i="1"/>
  <c r="E996" i="1"/>
  <c r="F996" i="1"/>
  <c r="G996" i="1"/>
  <c r="H996" i="1"/>
  <c r="I996" i="1"/>
  <c r="J996" i="1"/>
  <c r="K996" i="1"/>
  <c r="L996" i="1"/>
  <c r="M996" i="1"/>
  <c r="N996" i="1"/>
  <c r="O996" i="1"/>
  <c r="P996" i="1"/>
  <c r="Q996" i="1"/>
  <c r="A997" i="1"/>
  <c r="B997" i="1"/>
  <c r="C997" i="1"/>
  <c r="D997" i="1"/>
  <c r="E997" i="1"/>
  <c r="F997" i="1"/>
  <c r="G997" i="1"/>
  <c r="H997" i="1"/>
  <c r="I997" i="1"/>
  <c r="J997" i="1"/>
  <c r="K997" i="1"/>
  <c r="L997" i="1"/>
  <c r="M997" i="1"/>
  <c r="N997" i="1"/>
  <c r="O997" i="1"/>
  <c r="P997" i="1"/>
  <c r="Q997" i="1"/>
  <c r="A998" i="1"/>
  <c r="B998" i="1"/>
  <c r="C998" i="1"/>
  <c r="D998" i="1"/>
  <c r="E998" i="1"/>
  <c r="F998" i="1"/>
  <c r="G998" i="1"/>
  <c r="H998" i="1"/>
  <c r="I998" i="1"/>
  <c r="J998" i="1"/>
  <c r="K998" i="1"/>
  <c r="L998" i="1"/>
  <c r="M998" i="1"/>
  <c r="N998" i="1"/>
  <c r="O998" i="1"/>
  <c r="P998" i="1"/>
  <c r="Q998" i="1"/>
  <c r="A999" i="1"/>
  <c r="B999" i="1"/>
  <c r="C999" i="1"/>
  <c r="E999" i="1"/>
  <c r="F999" i="1"/>
  <c r="G999" i="1"/>
  <c r="H999" i="1"/>
  <c r="I999" i="1"/>
  <c r="J999" i="1"/>
  <c r="K999" i="1"/>
  <c r="L999" i="1"/>
  <c r="M999" i="1"/>
  <c r="N999" i="1"/>
  <c r="O999" i="1"/>
  <c r="P999" i="1"/>
  <c r="Q999" i="1"/>
  <c r="A1000" i="1"/>
  <c r="B1000" i="1"/>
  <c r="C1000" i="1"/>
  <c r="D1000" i="1"/>
  <c r="E1000" i="1"/>
  <c r="F1000" i="1"/>
  <c r="G1000" i="1"/>
  <c r="H1000" i="1"/>
  <c r="I1000" i="1"/>
  <c r="J1000" i="1"/>
  <c r="K1000" i="1"/>
  <c r="L1000" i="1"/>
  <c r="M1000" i="1"/>
  <c r="N1000" i="1"/>
  <c r="O1000" i="1"/>
  <c r="P1000" i="1"/>
  <c r="Q1000" i="1"/>
  <c r="A1001" i="1"/>
  <c r="B1001" i="1"/>
  <c r="C1001" i="1"/>
  <c r="D1001" i="1"/>
  <c r="E1001" i="1"/>
  <c r="F1001" i="1"/>
  <c r="G1001" i="1"/>
  <c r="H1001" i="1"/>
  <c r="I1001" i="1"/>
  <c r="J1001" i="1"/>
  <c r="K1001" i="1"/>
  <c r="L1001" i="1"/>
  <c r="M1001" i="1"/>
  <c r="N1001" i="1"/>
  <c r="O1001" i="1"/>
  <c r="P1001" i="1"/>
  <c r="Q1001" i="1"/>
  <c r="A1002" i="1"/>
  <c r="B1002" i="1"/>
  <c r="C1002" i="1"/>
  <c r="E1002" i="1"/>
  <c r="F1002" i="1"/>
  <c r="G1002" i="1"/>
  <c r="H1002" i="1"/>
  <c r="I1002" i="1"/>
  <c r="J1002" i="1"/>
  <c r="K1002" i="1"/>
  <c r="L1002" i="1"/>
  <c r="M1002" i="1"/>
  <c r="N1002" i="1"/>
  <c r="O1002" i="1"/>
  <c r="P1002" i="1"/>
  <c r="Q1002" i="1"/>
  <c r="A1003" i="1"/>
  <c r="B1003" i="1"/>
  <c r="C1003" i="1"/>
  <c r="D1003" i="1"/>
  <c r="E1003" i="1"/>
  <c r="F1003" i="1"/>
  <c r="G1003" i="1"/>
  <c r="H1003" i="1"/>
  <c r="I1003" i="1"/>
  <c r="J1003" i="1"/>
  <c r="K1003" i="1"/>
  <c r="L1003" i="1"/>
  <c r="M1003" i="1"/>
  <c r="N1003" i="1"/>
  <c r="O1003" i="1"/>
  <c r="P1003" i="1"/>
  <c r="Q1003" i="1"/>
  <c r="A1004" i="1"/>
  <c r="B1004" i="1"/>
  <c r="C1004" i="1"/>
  <c r="D1004" i="1"/>
  <c r="E1004" i="1"/>
  <c r="F1004" i="1"/>
  <c r="G1004" i="1"/>
  <c r="H1004" i="1"/>
  <c r="I1004" i="1"/>
  <c r="J1004" i="1"/>
  <c r="K1004" i="1"/>
  <c r="L1004" i="1"/>
  <c r="M1004" i="1"/>
  <c r="N1004" i="1"/>
  <c r="O1004" i="1"/>
  <c r="P1004" i="1"/>
  <c r="Q1004" i="1"/>
  <c r="A1005" i="1"/>
  <c r="B1005" i="1"/>
  <c r="C1005" i="1"/>
  <c r="E1005" i="1"/>
  <c r="F1005" i="1"/>
  <c r="G1005" i="1"/>
  <c r="H1005" i="1"/>
  <c r="I1005" i="1"/>
  <c r="J1005" i="1"/>
  <c r="K1005" i="1"/>
  <c r="L1005" i="1"/>
  <c r="M1005" i="1"/>
  <c r="N1005" i="1"/>
  <c r="O1005" i="1"/>
  <c r="P1005" i="1"/>
  <c r="Q1005" i="1"/>
  <c r="A1006" i="1"/>
  <c r="B1006" i="1"/>
  <c r="C1006" i="1"/>
  <c r="E1006" i="1"/>
  <c r="F1006" i="1"/>
  <c r="G1006" i="1"/>
  <c r="H1006" i="1"/>
  <c r="I1006" i="1"/>
  <c r="J1006" i="1"/>
  <c r="K1006" i="1"/>
  <c r="L1006" i="1"/>
  <c r="M1006" i="1"/>
  <c r="N1006" i="1"/>
  <c r="O1006" i="1"/>
  <c r="P1006" i="1"/>
  <c r="Q1006" i="1"/>
  <c r="A1007" i="1"/>
  <c r="B1007" i="1"/>
  <c r="C1007" i="1"/>
  <c r="E1007" i="1"/>
  <c r="F1007" i="1"/>
  <c r="G1007" i="1"/>
  <c r="H1007" i="1"/>
  <c r="I1007" i="1"/>
  <c r="J1007" i="1"/>
  <c r="K1007" i="1"/>
  <c r="L1007" i="1"/>
  <c r="M1007" i="1"/>
  <c r="N1007" i="1"/>
  <c r="O1007" i="1"/>
  <c r="P1007" i="1"/>
  <c r="Q1007" i="1"/>
  <c r="A1008" i="1"/>
  <c r="B1008" i="1"/>
  <c r="C1008" i="1"/>
  <c r="D1008" i="1"/>
  <c r="E1008" i="1"/>
  <c r="F1008" i="1"/>
  <c r="G1008" i="1"/>
  <c r="H1008" i="1"/>
  <c r="I1008" i="1"/>
  <c r="J1008" i="1"/>
  <c r="K1008" i="1"/>
  <c r="L1008" i="1"/>
  <c r="M1008" i="1"/>
  <c r="N1008" i="1"/>
  <c r="O1008" i="1"/>
  <c r="P1008" i="1"/>
  <c r="Q1008" i="1"/>
  <c r="A1009" i="1"/>
  <c r="B1009" i="1"/>
  <c r="C1009" i="1"/>
  <c r="D1009" i="1"/>
  <c r="E1009" i="1"/>
  <c r="F1009" i="1"/>
  <c r="G1009" i="1"/>
  <c r="H1009" i="1"/>
  <c r="I1009" i="1"/>
  <c r="J1009" i="1"/>
  <c r="K1009" i="1"/>
  <c r="L1009" i="1"/>
  <c r="M1009" i="1"/>
  <c r="N1009" i="1"/>
  <c r="O1009" i="1"/>
  <c r="P1009" i="1"/>
  <c r="Q1009" i="1"/>
  <c r="A1010" i="1"/>
  <c r="B1010" i="1"/>
  <c r="C1010" i="1"/>
  <c r="D1010" i="1"/>
  <c r="E1010" i="1"/>
  <c r="F1010" i="1"/>
  <c r="G1010" i="1"/>
  <c r="H1010" i="1"/>
  <c r="I1010" i="1"/>
  <c r="J1010" i="1"/>
  <c r="K1010" i="1"/>
  <c r="L1010" i="1"/>
  <c r="M1010" i="1"/>
  <c r="N1010" i="1"/>
  <c r="O1010" i="1"/>
  <c r="P1010" i="1"/>
  <c r="Q1010" i="1"/>
  <c r="A1011" i="1"/>
  <c r="B1011" i="1"/>
  <c r="C1011" i="1"/>
  <c r="E1011" i="1"/>
  <c r="F1011" i="1"/>
  <c r="G1011" i="1"/>
  <c r="H1011" i="1"/>
  <c r="I1011" i="1"/>
  <c r="J1011" i="1"/>
  <c r="K1011" i="1"/>
  <c r="L1011" i="1"/>
  <c r="M1011" i="1"/>
  <c r="N1011" i="1"/>
  <c r="O1011" i="1"/>
  <c r="P1011" i="1"/>
  <c r="Q1011" i="1"/>
  <c r="A1012" i="1"/>
  <c r="B1012" i="1"/>
  <c r="C1012" i="1"/>
  <c r="E1012" i="1"/>
  <c r="F1012" i="1"/>
  <c r="G1012" i="1"/>
  <c r="H1012" i="1"/>
  <c r="I1012" i="1"/>
  <c r="J1012" i="1"/>
  <c r="K1012" i="1"/>
  <c r="L1012" i="1"/>
  <c r="M1012" i="1"/>
  <c r="N1012" i="1"/>
  <c r="O1012" i="1"/>
  <c r="P1012" i="1"/>
  <c r="Q1012" i="1"/>
  <c r="A1013" i="1"/>
  <c r="B1013" i="1"/>
  <c r="C1013" i="1"/>
  <c r="E1013" i="1"/>
  <c r="F1013" i="1"/>
  <c r="G1013" i="1"/>
  <c r="H1013" i="1"/>
  <c r="I1013" i="1"/>
  <c r="J1013" i="1"/>
  <c r="K1013" i="1"/>
  <c r="L1013" i="1"/>
  <c r="M1013" i="1"/>
  <c r="N1013" i="1"/>
  <c r="O1013" i="1"/>
  <c r="P1013" i="1"/>
  <c r="Q1013" i="1"/>
  <c r="A1014" i="1"/>
  <c r="B1014" i="1"/>
  <c r="C1014" i="1"/>
  <c r="D1014" i="1"/>
  <c r="E1014" i="1"/>
  <c r="F1014" i="1"/>
  <c r="G1014" i="1"/>
  <c r="H1014" i="1"/>
  <c r="I1014" i="1"/>
  <c r="J1014" i="1"/>
  <c r="K1014" i="1"/>
  <c r="L1014" i="1"/>
  <c r="M1014" i="1"/>
  <c r="N1014" i="1"/>
  <c r="O1014" i="1"/>
  <c r="P1014" i="1"/>
  <c r="Q1014" i="1"/>
  <c r="A1015" i="1"/>
  <c r="B1015" i="1"/>
  <c r="C1015" i="1"/>
  <c r="D1015" i="1"/>
  <c r="E1015" i="1"/>
  <c r="F1015" i="1"/>
  <c r="G1015" i="1"/>
  <c r="H1015" i="1"/>
  <c r="I1015" i="1"/>
  <c r="J1015" i="1"/>
  <c r="K1015" i="1"/>
  <c r="L1015" i="1"/>
  <c r="M1015" i="1"/>
  <c r="N1015" i="1"/>
  <c r="O1015" i="1"/>
  <c r="P1015" i="1"/>
  <c r="Q1015" i="1"/>
  <c r="A1016" i="1"/>
  <c r="B1016" i="1"/>
  <c r="C1016" i="1"/>
  <c r="D1016" i="1"/>
  <c r="E1016" i="1"/>
  <c r="F1016" i="1"/>
  <c r="G1016" i="1"/>
  <c r="H1016" i="1"/>
  <c r="I1016" i="1"/>
  <c r="J1016" i="1"/>
  <c r="K1016" i="1"/>
  <c r="L1016" i="1"/>
  <c r="M1016" i="1"/>
  <c r="N1016" i="1"/>
  <c r="O1016" i="1"/>
  <c r="P1016" i="1"/>
  <c r="Q1016" i="1"/>
  <c r="A1017" i="1"/>
  <c r="B1017" i="1"/>
  <c r="C1017" i="1"/>
  <c r="E1017" i="1"/>
  <c r="F1017" i="1"/>
  <c r="G1017" i="1"/>
  <c r="H1017" i="1"/>
  <c r="I1017" i="1"/>
  <c r="J1017" i="1"/>
  <c r="K1017" i="1"/>
  <c r="L1017" i="1"/>
  <c r="M1017" i="1"/>
  <c r="N1017" i="1"/>
  <c r="O1017" i="1"/>
  <c r="P1017" i="1"/>
  <c r="Q1017" i="1"/>
  <c r="A1018" i="1"/>
  <c r="B1018" i="1"/>
  <c r="C1018" i="1"/>
  <c r="D1018" i="1"/>
  <c r="E1018" i="1"/>
  <c r="F1018" i="1"/>
  <c r="G1018" i="1"/>
  <c r="H1018" i="1"/>
  <c r="I1018" i="1"/>
  <c r="J1018" i="1"/>
  <c r="K1018" i="1"/>
  <c r="L1018" i="1"/>
  <c r="M1018" i="1"/>
  <c r="N1018" i="1"/>
  <c r="O1018" i="1"/>
  <c r="P1018" i="1"/>
  <c r="Q1018" i="1"/>
  <c r="A1019" i="1"/>
  <c r="B1019" i="1"/>
  <c r="C1019" i="1"/>
  <c r="D1019" i="1"/>
  <c r="E1019" i="1"/>
  <c r="F1019" i="1"/>
  <c r="G1019" i="1"/>
  <c r="H1019" i="1"/>
  <c r="I1019" i="1"/>
  <c r="J1019" i="1"/>
  <c r="K1019" i="1"/>
  <c r="L1019" i="1"/>
  <c r="M1019" i="1"/>
  <c r="N1019" i="1"/>
  <c r="O1019" i="1"/>
  <c r="P1019" i="1"/>
  <c r="Q1019" i="1"/>
  <c r="A1020" i="1"/>
  <c r="B1020" i="1"/>
  <c r="C1020" i="1"/>
  <c r="E1020" i="1"/>
  <c r="F1020" i="1"/>
  <c r="G1020" i="1"/>
  <c r="H1020" i="1"/>
  <c r="I1020" i="1"/>
  <c r="J1020" i="1"/>
  <c r="K1020" i="1"/>
  <c r="L1020" i="1"/>
  <c r="M1020" i="1"/>
  <c r="N1020" i="1"/>
  <c r="O1020" i="1"/>
  <c r="P1020" i="1"/>
  <c r="Q1020" i="1"/>
  <c r="A1021" i="1"/>
  <c r="B1021" i="1"/>
  <c r="C1021" i="1"/>
  <c r="E1021" i="1"/>
  <c r="F1021" i="1"/>
  <c r="G1021" i="1"/>
  <c r="H1021" i="1"/>
  <c r="I1021" i="1"/>
  <c r="J1021" i="1"/>
  <c r="K1021" i="1"/>
  <c r="L1021" i="1"/>
  <c r="M1021" i="1"/>
  <c r="N1021" i="1"/>
  <c r="O1021" i="1"/>
  <c r="P1021" i="1"/>
  <c r="Q1021" i="1"/>
  <c r="A1022" i="1"/>
  <c r="B1022" i="1"/>
  <c r="C1022" i="1"/>
  <c r="D1022" i="1"/>
  <c r="E1022" i="1"/>
  <c r="F1022" i="1"/>
  <c r="G1022" i="1"/>
  <c r="H1022" i="1"/>
  <c r="I1022" i="1"/>
  <c r="J1022" i="1"/>
  <c r="K1022" i="1"/>
  <c r="L1022" i="1"/>
  <c r="M1022" i="1"/>
  <c r="N1022" i="1"/>
  <c r="O1022" i="1"/>
  <c r="P1022" i="1"/>
  <c r="Q1022" i="1"/>
  <c r="A1023" i="1"/>
  <c r="B1023" i="1"/>
  <c r="C1023" i="1"/>
  <c r="E1023" i="1"/>
  <c r="F1023" i="1"/>
  <c r="G1023" i="1"/>
  <c r="H1023" i="1"/>
  <c r="I1023" i="1"/>
  <c r="J1023" i="1"/>
  <c r="K1023" i="1"/>
  <c r="L1023" i="1"/>
  <c r="M1023" i="1"/>
  <c r="N1023" i="1"/>
  <c r="O1023" i="1"/>
  <c r="P1023" i="1"/>
  <c r="Q1023" i="1"/>
  <c r="A1024" i="1"/>
  <c r="B1024" i="1"/>
  <c r="C1024" i="1"/>
  <c r="D1024" i="1"/>
  <c r="E1024" i="1"/>
  <c r="F1024" i="1"/>
  <c r="G1024" i="1"/>
  <c r="H1024" i="1"/>
  <c r="I1024" i="1"/>
  <c r="J1024" i="1"/>
  <c r="K1024" i="1"/>
  <c r="L1024" i="1"/>
  <c r="M1024" i="1"/>
  <c r="N1024" i="1"/>
  <c r="O1024" i="1"/>
  <c r="P1024" i="1"/>
  <c r="Q1024" i="1"/>
  <c r="A1025" i="1"/>
  <c r="B1025" i="1"/>
  <c r="C1025" i="1"/>
  <c r="D1025" i="1"/>
  <c r="E1025" i="1"/>
  <c r="F1025" i="1"/>
  <c r="G1025" i="1"/>
  <c r="H1025" i="1"/>
  <c r="I1025" i="1"/>
  <c r="J1025" i="1"/>
  <c r="K1025" i="1"/>
  <c r="L1025" i="1"/>
  <c r="M1025" i="1"/>
  <c r="N1025" i="1"/>
  <c r="O1025" i="1"/>
  <c r="P1025" i="1"/>
  <c r="Q1025" i="1"/>
  <c r="A1026" i="1"/>
  <c r="B1026" i="1"/>
  <c r="C1026" i="1"/>
  <c r="D1026" i="1"/>
  <c r="E1026" i="1"/>
  <c r="F1026" i="1"/>
  <c r="G1026" i="1"/>
  <c r="H1026" i="1"/>
  <c r="I1026" i="1"/>
  <c r="J1026" i="1"/>
  <c r="K1026" i="1"/>
  <c r="L1026" i="1"/>
  <c r="M1026" i="1"/>
  <c r="N1026" i="1"/>
  <c r="O1026" i="1"/>
  <c r="P1026" i="1"/>
  <c r="Q1026" i="1"/>
  <c r="A1027" i="1"/>
  <c r="B1027" i="1"/>
  <c r="C1027" i="1"/>
  <c r="D1027" i="1"/>
  <c r="E1027" i="1"/>
  <c r="F1027" i="1"/>
  <c r="G1027" i="1"/>
  <c r="H1027" i="1"/>
  <c r="I1027" i="1"/>
  <c r="J1027" i="1"/>
  <c r="K1027" i="1"/>
  <c r="L1027" i="1"/>
  <c r="M1027" i="1"/>
  <c r="N1027" i="1"/>
  <c r="O1027" i="1"/>
  <c r="P1027" i="1"/>
  <c r="Q1027" i="1"/>
  <c r="A1028" i="1"/>
  <c r="B1028" i="1"/>
  <c r="C1028" i="1"/>
  <c r="D1028" i="1"/>
  <c r="E1028" i="1"/>
  <c r="F1028" i="1"/>
  <c r="G1028" i="1"/>
  <c r="H1028" i="1"/>
  <c r="I1028" i="1"/>
  <c r="J1028" i="1"/>
  <c r="K1028" i="1"/>
  <c r="L1028" i="1"/>
  <c r="M1028" i="1"/>
  <c r="N1028" i="1"/>
  <c r="O1028" i="1"/>
  <c r="P1028" i="1"/>
  <c r="Q1028" i="1"/>
  <c r="A1029" i="1"/>
  <c r="B1029" i="1"/>
  <c r="C1029" i="1"/>
  <c r="D1029" i="1"/>
  <c r="E1029" i="1"/>
  <c r="F1029" i="1"/>
  <c r="G1029" i="1"/>
  <c r="H1029" i="1"/>
  <c r="I1029" i="1"/>
  <c r="J1029" i="1"/>
  <c r="K1029" i="1"/>
  <c r="L1029" i="1"/>
  <c r="M1029" i="1"/>
  <c r="N1029" i="1"/>
  <c r="O1029" i="1"/>
  <c r="P1029" i="1"/>
  <c r="Q1029" i="1"/>
  <c r="A1030" i="1"/>
  <c r="B1030" i="1"/>
  <c r="C1030" i="1"/>
  <c r="D1030" i="1"/>
  <c r="E1030" i="1"/>
  <c r="F1030" i="1"/>
  <c r="G1030" i="1"/>
  <c r="H1030" i="1"/>
  <c r="I1030" i="1"/>
  <c r="J1030" i="1"/>
  <c r="K1030" i="1"/>
  <c r="L1030" i="1"/>
  <c r="M1030" i="1"/>
  <c r="N1030" i="1"/>
  <c r="O1030" i="1"/>
  <c r="P1030" i="1"/>
  <c r="Q1030" i="1"/>
  <c r="A1031" i="1"/>
  <c r="B1031" i="1"/>
  <c r="C1031" i="1"/>
  <c r="D1031" i="1"/>
  <c r="E1031" i="1"/>
  <c r="F1031" i="1"/>
  <c r="G1031" i="1"/>
  <c r="H1031" i="1"/>
  <c r="I1031" i="1"/>
  <c r="J1031" i="1"/>
  <c r="K1031" i="1"/>
  <c r="L1031" i="1"/>
  <c r="M1031" i="1"/>
  <c r="N1031" i="1"/>
  <c r="O1031" i="1"/>
  <c r="P1031" i="1"/>
  <c r="Q1031" i="1"/>
  <c r="A1032" i="1"/>
  <c r="B1032" i="1"/>
  <c r="C1032" i="1"/>
  <c r="D1032" i="1"/>
  <c r="E1032" i="1"/>
  <c r="F1032" i="1"/>
  <c r="G1032" i="1"/>
  <c r="H1032" i="1"/>
  <c r="I1032" i="1"/>
  <c r="J1032" i="1"/>
  <c r="K1032" i="1"/>
  <c r="L1032" i="1"/>
  <c r="M1032" i="1"/>
  <c r="N1032" i="1"/>
  <c r="O1032" i="1"/>
  <c r="P1032" i="1"/>
  <c r="Q1032" i="1"/>
  <c r="A1033" i="1"/>
  <c r="B1033" i="1"/>
  <c r="C1033" i="1"/>
  <c r="D1033" i="1"/>
  <c r="E1033" i="1"/>
  <c r="F1033" i="1"/>
  <c r="G1033" i="1"/>
  <c r="H1033" i="1"/>
  <c r="I1033" i="1"/>
  <c r="J1033" i="1"/>
  <c r="K1033" i="1"/>
  <c r="L1033" i="1"/>
  <c r="M1033" i="1"/>
  <c r="N1033" i="1"/>
  <c r="O1033" i="1"/>
  <c r="P1033" i="1"/>
  <c r="Q1033" i="1"/>
  <c r="A1034" i="1"/>
  <c r="B1034" i="1"/>
  <c r="C1034" i="1"/>
  <c r="D1034" i="1"/>
  <c r="E1034" i="1"/>
  <c r="F1034" i="1"/>
  <c r="G1034" i="1"/>
  <c r="H1034" i="1"/>
  <c r="I1034" i="1"/>
  <c r="J1034" i="1"/>
  <c r="K1034" i="1"/>
  <c r="L1034" i="1"/>
  <c r="M1034" i="1"/>
  <c r="N1034" i="1"/>
  <c r="O1034" i="1"/>
  <c r="P1034" i="1"/>
  <c r="Q1034" i="1"/>
  <c r="A1035" i="1"/>
  <c r="B1035" i="1"/>
  <c r="C1035" i="1"/>
  <c r="D1035" i="1"/>
  <c r="E1035" i="1"/>
  <c r="F1035" i="1"/>
  <c r="G1035" i="1"/>
  <c r="H1035" i="1"/>
  <c r="I1035" i="1"/>
  <c r="J1035" i="1"/>
  <c r="K1035" i="1"/>
  <c r="L1035" i="1"/>
  <c r="M1035" i="1"/>
  <c r="N1035" i="1"/>
  <c r="O1035" i="1"/>
  <c r="P1035" i="1"/>
  <c r="Q1035" i="1"/>
  <c r="A1036" i="1"/>
  <c r="B1036" i="1"/>
  <c r="C1036" i="1"/>
  <c r="D1036" i="1"/>
  <c r="E1036" i="1"/>
  <c r="F1036" i="1"/>
  <c r="G1036" i="1"/>
  <c r="H1036" i="1"/>
  <c r="I1036" i="1"/>
  <c r="J1036" i="1"/>
  <c r="K1036" i="1"/>
  <c r="L1036" i="1"/>
  <c r="M1036" i="1"/>
  <c r="N1036" i="1"/>
  <c r="O1036" i="1"/>
  <c r="P1036" i="1"/>
  <c r="Q1036" i="1"/>
  <c r="A1037" i="1"/>
  <c r="B1037" i="1"/>
  <c r="C1037" i="1"/>
  <c r="D1037" i="1"/>
  <c r="E1037" i="1"/>
  <c r="F1037" i="1"/>
  <c r="G1037" i="1"/>
  <c r="H1037" i="1"/>
  <c r="I1037" i="1"/>
  <c r="J1037" i="1"/>
  <c r="K1037" i="1"/>
  <c r="L1037" i="1"/>
  <c r="M1037" i="1"/>
  <c r="N1037" i="1"/>
  <c r="O1037" i="1"/>
  <c r="P1037" i="1"/>
  <c r="Q1037" i="1"/>
  <c r="A1038" i="1"/>
  <c r="B1038" i="1"/>
  <c r="C1038" i="1"/>
  <c r="D1038" i="1"/>
  <c r="E1038" i="1"/>
  <c r="F1038" i="1"/>
  <c r="G1038" i="1"/>
  <c r="H1038" i="1"/>
  <c r="I1038" i="1"/>
  <c r="J1038" i="1"/>
  <c r="K1038" i="1"/>
  <c r="L1038" i="1"/>
  <c r="M1038" i="1"/>
  <c r="N1038" i="1"/>
  <c r="O1038" i="1"/>
  <c r="P1038" i="1"/>
  <c r="Q1038" i="1"/>
  <c r="A1039" i="1"/>
  <c r="B1039" i="1"/>
  <c r="C1039" i="1"/>
  <c r="D1039" i="1"/>
  <c r="E1039" i="1"/>
  <c r="F1039" i="1"/>
  <c r="G1039" i="1"/>
  <c r="H1039" i="1"/>
  <c r="I1039" i="1"/>
  <c r="J1039" i="1"/>
  <c r="K1039" i="1"/>
  <c r="L1039" i="1"/>
  <c r="M1039" i="1"/>
  <c r="N1039" i="1"/>
  <c r="O1039" i="1"/>
  <c r="P1039" i="1"/>
  <c r="Q1039" i="1"/>
  <c r="A1040" i="1"/>
  <c r="B1040" i="1"/>
  <c r="C1040" i="1"/>
  <c r="D1040" i="1"/>
  <c r="E1040" i="1"/>
  <c r="F1040" i="1"/>
  <c r="G1040" i="1"/>
  <c r="H1040" i="1"/>
  <c r="I1040" i="1"/>
  <c r="J1040" i="1"/>
  <c r="K1040" i="1"/>
  <c r="L1040" i="1"/>
  <c r="M1040" i="1"/>
  <c r="N1040" i="1"/>
  <c r="O1040" i="1"/>
  <c r="P1040" i="1"/>
  <c r="Q1040" i="1"/>
  <c r="A1041" i="1"/>
  <c r="B1041" i="1"/>
  <c r="C1041" i="1"/>
  <c r="D1041" i="1"/>
  <c r="E1041" i="1"/>
  <c r="F1041" i="1"/>
  <c r="G1041" i="1"/>
  <c r="H1041" i="1"/>
  <c r="I1041" i="1"/>
  <c r="J1041" i="1"/>
  <c r="K1041" i="1"/>
  <c r="L1041" i="1"/>
  <c r="M1041" i="1"/>
  <c r="N1041" i="1"/>
  <c r="O1041" i="1"/>
  <c r="P1041" i="1"/>
  <c r="Q1041" i="1"/>
  <c r="A1042" i="1"/>
  <c r="B1042" i="1"/>
  <c r="C1042" i="1"/>
  <c r="D1042" i="1"/>
  <c r="E1042" i="1"/>
  <c r="F1042" i="1"/>
  <c r="G1042" i="1"/>
  <c r="H1042" i="1"/>
  <c r="I1042" i="1"/>
  <c r="J1042" i="1"/>
  <c r="K1042" i="1"/>
  <c r="L1042" i="1"/>
  <c r="M1042" i="1"/>
  <c r="N1042" i="1"/>
  <c r="O1042" i="1"/>
  <c r="P1042" i="1"/>
  <c r="Q1042" i="1"/>
  <c r="A1043" i="1"/>
  <c r="B1043" i="1"/>
  <c r="C1043" i="1"/>
  <c r="D1043" i="1"/>
  <c r="E1043" i="1"/>
  <c r="F1043" i="1"/>
  <c r="G1043" i="1"/>
  <c r="H1043" i="1"/>
  <c r="I1043" i="1"/>
  <c r="J1043" i="1"/>
  <c r="K1043" i="1"/>
  <c r="L1043" i="1"/>
  <c r="M1043" i="1"/>
  <c r="N1043" i="1"/>
  <c r="O1043" i="1"/>
  <c r="P1043" i="1"/>
  <c r="Q1043" i="1"/>
  <c r="A1044" i="1"/>
  <c r="B1044" i="1"/>
  <c r="C1044" i="1"/>
  <c r="D1044" i="1"/>
  <c r="E1044" i="1"/>
  <c r="F1044" i="1"/>
  <c r="G1044" i="1"/>
  <c r="H1044" i="1"/>
  <c r="I1044" i="1"/>
  <c r="J1044" i="1"/>
  <c r="K1044" i="1"/>
  <c r="L1044" i="1"/>
  <c r="M1044" i="1"/>
  <c r="N1044" i="1"/>
  <c r="O1044" i="1"/>
  <c r="P1044" i="1"/>
  <c r="Q1044" i="1"/>
  <c r="A1045" i="1"/>
  <c r="B1045" i="1"/>
  <c r="C1045" i="1"/>
  <c r="D1045" i="1"/>
  <c r="E1045" i="1"/>
  <c r="F1045" i="1"/>
  <c r="G1045" i="1"/>
  <c r="H1045" i="1"/>
  <c r="I1045" i="1"/>
  <c r="J1045" i="1"/>
  <c r="K1045" i="1"/>
  <c r="L1045" i="1"/>
  <c r="M1045" i="1"/>
  <c r="N1045" i="1"/>
  <c r="O1045" i="1"/>
  <c r="P1045" i="1"/>
  <c r="Q1045" i="1"/>
  <c r="A1046" i="1"/>
  <c r="B1046" i="1"/>
  <c r="C1046" i="1"/>
  <c r="D1046" i="1"/>
  <c r="E1046" i="1"/>
  <c r="F1046" i="1"/>
  <c r="G1046" i="1"/>
  <c r="H1046" i="1"/>
  <c r="I1046" i="1"/>
  <c r="J1046" i="1"/>
  <c r="K1046" i="1"/>
  <c r="L1046" i="1"/>
  <c r="M1046" i="1"/>
  <c r="N1046" i="1"/>
  <c r="O1046" i="1"/>
  <c r="P1046" i="1"/>
  <c r="Q1046" i="1"/>
  <c r="A1047" i="1"/>
  <c r="B1047" i="1"/>
  <c r="C1047" i="1"/>
  <c r="D1047" i="1"/>
  <c r="E1047" i="1"/>
  <c r="F1047" i="1"/>
  <c r="G1047" i="1"/>
  <c r="H1047" i="1"/>
  <c r="I1047" i="1"/>
  <c r="J1047" i="1"/>
  <c r="K1047" i="1"/>
  <c r="L1047" i="1"/>
  <c r="M1047" i="1"/>
  <c r="N1047" i="1"/>
  <c r="O1047" i="1"/>
  <c r="P1047" i="1"/>
  <c r="Q1047" i="1"/>
  <c r="A1048" i="1"/>
  <c r="B1048" i="1"/>
  <c r="C1048" i="1"/>
  <c r="E1048" i="1"/>
  <c r="F1048" i="1"/>
  <c r="G1048" i="1"/>
  <c r="H1048" i="1"/>
  <c r="I1048" i="1"/>
  <c r="J1048" i="1"/>
  <c r="K1048" i="1"/>
  <c r="L1048" i="1"/>
  <c r="M1048" i="1"/>
  <c r="N1048" i="1"/>
  <c r="O1048" i="1"/>
  <c r="P1048" i="1"/>
  <c r="Q1048" i="1"/>
  <c r="A1049" i="1"/>
  <c r="B1049" i="1"/>
  <c r="C1049" i="1"/>
  <c r="D1049" i="1"/>
  <c r="E1049" i="1"/>
  <c r="F1049" i="1"/>
  <c r="G1049" i="1"/>
  <c r="H1049" i="1"/>
  <c r="I1049" i="1"/>
  <c r="J1049" i="1"/>
  <c r="K1049" i="1"/>
  <c r="L1049" i="1"/>
  <c r="M1049" i="1"/>
  <c r="N1049" i="1"/>
  <c r="O1049" i="1"/>
  <c r="P1049" i="1"/>
  <c r="Q1049" i="1"/>
  <c r="A1050" i="1"/>
  <c r="B1050" i="1"/>
  <c r="C1050" i="1"/>
  <c r="E1050" i="1"/>
  <c r="F1050" i="1"/>
  <c r="G1050" i="1"/>
  <c r="H1050" i="1"/>
  <c r="I1050" i="1"/>
  <c r="J1050" i="1"/>
  <c r="K1050" i="1"/>
  <c r="L1050" i="1"/>
  <c r="M1050" i="1"/>
  <c r="N1050" i="1"/>
  <c r="O1050" i="1"/>
  <c r="P1050" i="1"/>
  <c r="Q1050" i="1"/>
  <c r="A1051" i="1"/>
  <c r="B1051" i="1"/>
  <c r="C1051" i="1"/>
  <c r="D1051" i="1"/>
  <c r="E1051" i="1"/>
  <c r="F1051" i="1"/>
  <c r="G1051" i="1"/>
  <c r="H1051" i="1"/>
  <c r="I1051" i="1"/>
  <c r="J1051" i="1"/>
  <c r="K1051" i="1"/>
  <c r="L1051" i="1"/>
  <c r="M1051" i="1"/>
  <c r="N1051" i="1"/>
  <c r="O1051" i="1"/>
  <c r="P1051" i="1"/>
  <c r="Q1051" i="1"/>
  <c r="A1052" i="1"/>
  <c r="B1052" i="1"/>
  <c r="C1052" i="1"/>
  <c r="D1052" i="1"/>
  <c r="E1052" i="1"/>
  <c r="F1052" i="1"/>
  <c r="G1052" i="1"/>
  <c r="H1052" i="1"/>
  <c r="I1052" i="1"/>
  <c r="J1052" i="1"/>
  <c r="K1052" i="1"/>
  <c r="L1052" i="1"/>
  <c r="M1052" i="1"/>
  <c r="N1052" i="1"/>
  <c r="O1052" i="1"/>
  <c r="P1052" i="1"/>
  <c r="Q1052" i="1"/>
  <c r="A1053" i="1"/>
  <c r="B1053" i="1"/>
  <c r="C1053" i="1"/>
  <c r="D1053" i="1"/>
  <c r="E1053" i="1"/>
  <c r="F1053" i="1"/>
  <c r="G1053" i="1"/>
  <c r="H1053" i="1"/>
  <c r="I1053" i="1"/>
  <c r="J1053" i="1"/>
  <c r="K1053" i="1"/>
  <c r="L1053" i="1"/>
  <c r="M1053" i="1"/>
  <c r="N1053" i="1"/>
  <c r="O1053" i="1"/>
  <c r="P1053" i="1"/>
  <c r="Q1053" i="1"/>
  <c r="A1054" i="1"/>
  <c r="B1054" i="1"/>
  <c r="C1054" i="1"/>
  <c r="E1054" i="1"/>
  <c r="F1054" i="1"/>
  <c r="G1054" i="1"/>
  <c r="H1054" i="1"/>
  <c r="I1054" i="1"/>
  <c r="J1054" i="1"/>
  <c r="K1054" i="1"/>
  <c r="L1054" i="1"/>
  <c r="M1054" i="1"/>
  <c r="N1054" i="1"/>
  <c r="O1054" i="1"/>
  <c r="P1054" i="1"/>
  <c r="Q1054" i="1"/>
  <c r="A1055" i="1"/>
  <c r="B1055" i="1"/>
  <c r="C1055" i="1"/>
  <c r="D1055" i="1"/>
  <c r="E1055" i="1"/>
  <c r="F1055" i="1"/>
  <c r="G1055" i="1"/>
  <c r="H1055" i="1"/>
  <c r="I1055" i="1"/>
  <c r="J1055" i="1"/>
  <c r="K1055" i="1"/>
  <c r="L1055" i="1"/>
  <c r="M1055" i="1"/>
  <c r="N1055" i="1"/>
  <c r="O1055" i="1"/>
  <c r="P1055" i="1"/>
  <c r="Q1055" i="1"/>
  <c r="A1056" i="1"/>
  <c r="B1056" i="1"/>
  <c r="C1056" i="1"/>
  <c r="D1056" i="1"/>
  <c r="E1056" i="1"/>
  <c r="F1056" i="1"/>
  <c r="G1056" i="1"/>
  <c r="H1056" i="1"/>
  <c r="I1056" i="1"/>
  <c r="J1056" i="1"/>
  <c r="K1056" i="1"/>
  <c r="L1056" i="1"/>
  <c r="M1056" i="1"/>
  <c r="N1056" i="1"/>
  <c r="O1056" i="1"/>
  <c r="P1056" i="1"/>
  <c r="Q1056" i="1"/>
  <c r="A1057" i="1"/>
  <c r="B1057" i="1"/>
  <c r="C1057" i="1"/>
  <c r="D1057" i="1"/>
  <c r="E1057" i="1"/>
  <c r="F1057" i="1"/>
  <c r="G1057" i="1"/>
  <c r="H1057" i="1"/>
  <c r="I1057" i="1"/>
  <c r="J1057" i="1"/>
  <c r="K1057" i="1"/>
  <c r="L1057" i="1"/>
  <c r="M1057" i="1"/>
  <c r="N1057" i="1"/>
  <c r="O1057" i="1"/>
  <c r="P1057" i="1"/>
  <c r="Q1057" i="1"/>
  <c r="A1058" i="1"/>
  <c r="B1058" i="1"/>
  <c r="C1058" i="1"/>
  <c r="D1058" i="1"/>
  <c r="E1058" i="1"/>
  <c r="F1058" i="1"/>
  <c r="G1058" i="1"/>
  <c r="H1058" i="1"/>
  <c r="I1058" i="1"/>
  <c r="J1058" i="1"/>
  <c r="K1058" i="1"/>
  <c r="L1058" i="1"/>
  <c r="M1058" i="1"/>
  <c r="N1058" i="1"/>
  <c r="O1058" i="1"/>
  <c r="P1058" i="1"/>
  <c r="Q1058" i="1"/>
  <c r="A1059" i="1"/>
  <c r="B1059" i="1"/>
  <c r="C1059" i="1"/>
  <c r="D1059" i="1"/>
  <c r="E1059" i="1"/>
  <c r="F1059" i="1"/>
  <c r="G1059" i="1"/>
  <c r="H1059" i="1"/>
  <c r="I1059" i="1"/>
  <c r="J1059" i="1"/>
  <c r="K1059" i="1"/>
  <c r="L1059" i="1"/>
  <c r="M1059" i="1"/>
  <c r="N1059" i="1"/>
  <c r="O1059" i="1"/>
  <c r="P1059" i="1"/>
  <c r="Q1059" i="1"/>
  <c r="A1060" i="1"/>
  <c r="B1060" i="1"/>
  <c r="C1060" i="1"/>
  <c r="D1060" i="1"/>
  <c r="E1060" i="1"/>
  <c r="F1060" i="1"/>
  <c r="G1060" i="1"/>
  <c r="H1060" i="1"/>
  <c r="I1060" i="1"/>
  <c r="J1060" i="1"/>
  <c r="K1060" i="1"/>
  <c r="L1060" i="1"/>
  <c r="M1060" i="1"/>
  <c r="N1060" i="1"/>
  <c r="O1060" i="1"/>
  <c r="P1060" i="1"/>
  <c r="Q1060" i="1"/>
  <c r="A1061" i="1"/>
  <c r="B1061" i="1"/>
  <c r="C1061" i="1"/>
  <c r="D1061" i="1"/>
  <c r="E1061" i="1"/>
  <c r="F1061" i="1"/>
  <c r="G1061" i="1"/>
  <c r="H1061" i="1"/>
  <c r="I1061" i="1"/>
  <c r="J1061" i="1"/>
  <c r="K1061" i="1"/>
  <c r="L1061" i="1"/>
  <c r="M1061" i="1"/>
  <c r="N1061" i="1"/>
  <c r="O1061" i="1"/>
  <c r="P1061" i="1"/>
  <c r="Q1061" i="1"/>
  <c r="A1062" i="1"/>
  <c r="B1062" i="1"/>
  <c r="C1062" i="1"/>
  <c r="D1062" i="1"/>
  <c r="E1062" i="1"/>
  <c r="F1062" i="1"/>
  <c r="G1062" i="1"/>
  <c r="H1062" i="1"/>
  <c r="I1062" i="1"/>
  <c r="J1062" i="1"/>
  <c r="K1062" i="1"/>
  <c r="L1062" i="1"/>
  <c r="M1062" i="1"/>
  <c r="N1062" i="1"/>
  <c r="O1062" i="1"/>
  <c r="P1062" i="1"/>
  <c r="Q1062" i="1"/>
  <c r="A1063" i="1"/>
  <c r="B1063" i="1"/>
  <c r="C1063" i="1"/>
  <c r="D1063" i="1"/>
  <c r="E1063" i="1"/>
  <c r="F1063" i="1"/>
  <c r="G1063" i="1"/>
  <c r="H1063" i="1"/>
  <c r="I1063" i="1"/>
  <c r="J1063" i="1"/>
  <c r="K1063" i="1"/>
  <c r="L1063" i="1"/>
  <c r="M1063" i="1"/>
  <c r="N1063" i="1"/>
  <c r="O1063" i="1"/>
  <c r="P1063" i="1"/>
  <c r="Q1063" i="1"/>
  <c r="A1064" i="1"/>
  <c r="B1064" i="1"/>
  <c r="C1064" i="1"/>
  <c r="D1064" i="1"/>
  <c r="E1064" i="1"/>
  <c r="F1064" i="1"/>
  <c r="G1064" i="1"/>
  <c r="H1064" i="1"/>
  <c r="I1064" i="1"/>
  <c r="J1064" i="1"/>
  <c r="K1064" i="1"/>
  <c r="L1064" i="1"/>
  <c r="M1064" i="1"/>
  <c r="N1064" i="1"/>
  <c r="O1064" i="1"/>
  <c r="P1064" i="1"/>
  <c r="Q1064" i="1"/>
  <c r="A1065" i="1"/>
  <c r="B1065" i="1"/>
  <c r="C1065" i="1"/>
  <c r="D1065" i="1"/>
  <c r="E1065" i="1"/>
  <c r="F1065" i="1"/>
  <c r="G1065" i="1"/>
  <c r="H1065" i="1"/>
  <c r="I1065" i="1"/>
  <c r="J1065" i="1"/>
  <c r="K1065" i="1"/>
  <c r="L1065" i="1"/>
  <c r="M1065" i="1"/>
  <c r="N1065" i="1"/>
  <c r="O1065" i="1"/>
  <c r="P1065" i="1"/>
  <c r="Q1065" i="1"/>
  <c r="A1066" i="1"/>
  <c r="B1066" i="1"/>
  <c r="C1066" i="1"/>
  <c r="D1066" i="1"/>
  <c r="E1066" i="1"/>
  <c r="F1066" i="1"/>
  <c r="G1066" i="1"/>
  <c r="H1066" i="1"/>
  <c r="I1066" i="1"/>
  <c r="J1066" i="1"/>
  <c r="K1066" i="1"/>
  <c r="L1066" i="1"/>
  <c r="M1066" i="1"/>
  <c r="N1066" i="1"/>
  <c r="O1066" i="1"/>
  <c r="P1066" i="1"/>
  <c r="Q1066" i="1"/>
  <c r="A1067" i="1"/>
  <c r="B1067" i="1"/>
  <c r="C1067" i="1"/>
  <c r="D1067" i="1"/>
  <c r="E1067" i="1"/>
  <c r="F1067" i="1"/>
  <c r="G1067" i="1"/>
  <c r="H1067" i="1"/>
  <c r="I1067" i="1"/>
  <c r="J1067" i="1"/>
  <c r="K1067" i="1"/>
  <c r="L1067" i="1"/>
  <c r="M1067" i="1"/>
  <c r="N1067" i="1"/>
  <c r="O1067" i="1"/>
  <c r="P1067" i="1"/>
  <c r="Q1067" i="1"/>
  <c r="A1068" i="1"/>
  <c r="B1068" i="1"/>
  <c r="C1068" i="1"/>
  <c r="D1068" i="1"/>
  <c r="E1068" i="1"/>
  <c r="F1068" i="1"/>
  <c r="G1068" i="1"/>
  <c r="H1068" i="1"/>
  <c r="I1068" i="1"/>
  <c r="J1068" i="1"/>
  <c r="K1068" i="1"/>
  <c r="L1068" i="1"/>
  <c r="M1068" i="1"/>
  <c r="N1068" i="1"/>
  <c r="O1068" i="1"/>
  <c r="P1068" i="1"/>
  <c r="Q1068" i="1"/>
  <c r="A1069" i="1"/>
  <c r="B1069" i="1"/>
  <c r="C1069" i="1"/>
  <c r="D1069" i="1"/>
  <c r="E1069" i="1"/>
  <c r="F1069" i="1"/>
  <c r="G1069" i="1"/>
  <c r="H1069" i="1"/>
  <c r="I1069" i="1"/>
  <c r="J1069" i="1"/>
  <c r="K1069" i="1"/>
  <c r="L1069" i="1"/>
  <c r="M1069" i="1"/>
  <c r="N1069" i="1"/>
  <c r="O1069" i="1"/>
  <c r="P1069" i="1"/>
  <c r="Q1069" i="1"/>
  <c r="A1070" i="1"/>
  <c r="B1070" i="1"/>
  <c r="C1070" i="1"/>
  <c r="E1070" i="1"/>
  <c r="F1070" i="1"/>
  <c r="G1070" i="1"/>
  <c r="H1070" i="1"/>
  <c r="I1070" i="1"/>
  <c r="J1070" i="1"/>
  <c r="K1070" i="1"/>
  <c r="L1070" i="1"/>
  <c r="M1070" i="1"/>
  <c r="N1070" i="1"/>
  <c r="O1070" i="1"/>
  <c r="P1070" i="1"/>
  <c r="Q1070" i="1"/>
  <c r="A1071" i="1"/>
  <c r="B1071" i="1"/>
  <c r="C1071" i="1"/>
  <c r="D1071" i="1"/>
  <c r="E1071" i="1"/>
  <c r="F1071" i="1"/>
  <c r="G1071" i="1"/>
  <c r="H1071" i="1"/>
  <c r="I1071" i="1"/>
  <c r="J1071" i="1"/>
  <c r="K1071" i="1"/>
  <c r="L1071" i="1"/>
  <c r="M1071" i="1"/>
  <c r="N1071" i="1"/>
  <c r="O1071" i="1"/>
  <c r="P1071" i="1"/>
  <c r="Q1071" i="1"/>
  <c r="A1072" i="1"/>
  <c r="B1072" i="1"/>
  <c r="C1072" i="1"/>
  <c r="D1072" i="1"/>
  <c r="E1072" i="1"/>
  <c r="F1072" i="1"/>
  <c r="G1072" i="1"/>
  <c r="H1072" i="1"/>
  <c r="I1072" i="1"/>
  <c r="J1072" i="1"/>
  <c r="K1072" i="1"/>
  <c r="L1072" i="1"/>
  <c r="M1072" i="1"/>
  <c r="N1072" i="1"/>
  <c r="O1072" i="1"/>
  <c r="P1072" i="1"/>
  <c r="Q1072" i="1"/>
  <c r="A1073" i="1"/>
  <c r="B1073" i="1"/>
  <c r="C1073" i="1"/>
  <c r="D1073" i="1"/>
  <c r="E1073" i="1"/>
  <c r="F1073" i="1"/>
  <c r="G1073" i="1"/>
  <c r="H1073" i="1"/>
  <c r="I1073" i="1"/>
  <c r="J1073" i="1"/>
  <c r="K1073" i="1"/>
  <c r="L1073" i="1"/>
  <c r="M1073" i="1"/>
  <c r="N1073" i="1"/>
  <c r="O1073" i="1"/>
  <c r="P1073" i="1"/>
  <c r="Q1073" i="1"/>
  <c r="A1074" i="1"/>
  <c r="B1074" i="1"/>
  <c r="C1074" i="1"/>
  <c r="D1074" i="1"/>
  <c r="E1074" i="1"/>
  <c r="F1074" i="1"/>
  <c r="G1074" i="1"/>
  <c r="H1074" i="1"/>
  <c r="I1074" i="1"/>
  <c r="J1074" i="1"/>
  <c r="K1074" i="1"/>
  <c r="L1074" i="1"/>
  <c r="M1074" i="1"/>
  <c r="N1074" i="1"/>
  <c r="O1074" i="1"/>
  <c r="P1074" i="1"/>
  <c r="Q1074" i="1"/>
  <c r="A1075" i="1"/>
  <c r="B1075" i="1"/>
  <c r="C1075" i="1"/>
  <c r="D1075" i="1"/>
  <c r="E1075" i="1"/>
  <c r="F1075" i="1"/>
  <c r="G1075" i="1"/>
  <c r="H1075" i="1"/>
  <c r="I1075" i="1"/>
  <c r="J1075" i="1"/>
  <c r="K1075" i="1"/>
  <c r="L1075" i="1"/>
  <c r="M1075" i="1"/>
  <c r="N1075" i="1"/>
  <c r="O1075" i="1"/>
  <c r="P1075" i="1"/>
  <c r="Q1075" i="1"/>
  <c r="A1076" i="1"/>
  <c r="B1076" i="1"/>
  <c r="C1076" i="1"/>
  <c r="E1076" i="1"/>
  <c r="F1076" i="1"/>
  <c r="G1076" i="1"/>
  <c r="H1076" i="1"/>
  <c r="I1076" i="1"/>
  <c r="J1076" i="1"/>
  <c r="K1076" i="1"/>
  <c r="L1076" i="1"/>
  <c r="M1076" i="1"/>
  <c r="N1076" i="1"/>
  <c r="O1076" i="1"/>
  <c r="P1076" i="1"/>
  <c r="Q1076" i="1"/>
  <c r="A1077" i="1"/>
  <c r="B1077" i="1"/>
  <c r="C1077" i="1"/>
  <c r="E1077" i="1"/>
  <c r="F1077" i="1"/>
  <c r="G1077" i="1"/>
  <c r="H1077" i="1"/>
  <c r="I1077" i="1"/>
  <c r="J1077" i="1"/>
  <c r="K1077" i="1"/>
  <c r="L1077" i="1"/>
  <c r="M1077" i="1"/>
  <c r="N1077" i="1"/>
  <c r="O1077" i="1"/>
  <c r="P1077" i="1"/>
  <c r="Q1077" i="1"/>
  <c r="A1078" i="1"/>
  <c r="B1078" i="1"/>
  <c r="C1078" i="1"/>
  <c r="D1078" i="1"/>
  <c r="E1078" i="1"/>
  <c r="F1078" i="1"/>
  <c r="G1078" i="1"/>
  <c r="H1078" i="1"/>
  <c r="I1078" i="1"/>
  <c r="J1078" i="1"/>
  <c r="K1078" i="1"/>
  <c r="L1078" i="1"/>
  <c r="M1078" i="1"/>
  <c r="N1078" i="1"/>
  <c r="O1078" i="1"/>
  <c r="P1078" i="1"/>
  <c r="Q1078" i="1"/>
  <c r="A1079" i="1"/>
  <c r="B1079" i="1"/>
  <c r="C1079" i="1"/>
  <c r="E1079" i="1"/>
  <c r="F1079" i="1"/>
  <c r="G1079" i="1"/>
  <c r="H1079" i="1"/>
  <c r="I1079" i="1"/>
  <c r="J1079" i="1"/>
  <c r="K1079" i="1"/>
  <c r="L1079" i="1"/>
  <c r="M1079" i="1"/>
  <c r="N1079" i="1"/>
  <c r="O1079" i="1"/>
  <c r="P1079" i="1"/>
  <c r="Q1079" i="1"/>
  <c r="A1080" i="1"/>
  <c r="B1080" i="1"/>
  <c r="C1080" i="1"/>
  <c r="E1080" i="1"/>
  <c r="F1080" i="1"/>
  <c r="G1080" i="1"/>
  <c r="H1080" i="1"/>
  <c r="I1080" i="1"/>
  <c r="J1080" i="1"/>
  <c r="K1080" i="1"/>
  <c r="L1080" i="1"/>
  <c r="M1080" i="1"/>
  <c r="N1080" i="1"/>
  <c r="O1080" i="1"/>
  <c r="P1080" i="1"/>
  <c r="Q1080" i="1"/>
  <c r="A1081" i="1"/>
  <c r="B1081" i="1"/>
  <c r="C1081" i="1"/>
  <c r="E1081" i="1"/>
  <c r="F1081" i="1"/>
  <c r="G1081" i="1"/>
  <c r="H1081" i="1"/>
  <c r="I1081" i="1"/>
  <c r="J1081" i="1"/>
  <c r="K1081" i="1"/>
  <c r="L1081" i="1"/>
  <c r="M1081" i="1"/>
  <c r="N1081" i="1"/>
  <c r="O1081" i="1"/>
  <c r="P1081" i="1"/>
  <c r="Q1081" i="1"/>
  <c r="A1082" i="1"/>
  <c r="B1082" i="1"/>
  <c r="C1082" i="1"/>
  <c r="D1082" i="1"/>
  <c r="E1082" i="1"/>
  <c r="F1082" i="1"/>
  <c r="G1082" i="1"/>
  <c r="H1082" i="1"/>
  <c r="I1082" i="1"/>
  <c r="J1082" i="1"/>
  <c r="K1082" i="1"/>
  <c r="L1082" i="1"/>
  <c r="M1082" i="1"/>
  <c r="N1082" i="1"/>
  <c r="O1082" i="1"/>
  <c r="P1082" i="1"/>
  <c r="Q1082" i="1"/>
  <c r="A1083" i="1"/>
  <c r="B1083" i="1"/>
  <c r="C1083" i="1"/>
  <c r="D1083" i="1"/>
  <c r="E1083" i="1"/>
  <c r="F1083" i="1"/>
  <c r="G1083" i="1"/>
  <c r="H1083" i="1"/>
  <c r="I1083" i="1"/>
  <c r="J1083" i="1"/>
  <c r="K1083" i="1"/>
  <c r="L1083" i="1"/>
  <c r="M1083" i="1"/>
  <c r="N1083" i="1"/>
  <c r="O1083" i="1"/>
  <c r="P1083" i="1"/>
  <c r="Q1083" i="1"/>
  <c r="A1084" i="1"/>
  <c r="B1084" i="1"/>
  <c r="C1084" i="1"/>
  <c r="D1084" i="1"/>
  <c r="E1084" i="1"/>
  <c r="F1084" i="1"/>
  <c r="G1084" i="1"/>
  <c r="H1084" i="1"/>
  <c r="I1084" i="1"/>
  <c r="J1084" i="1"/>
  <c r="K1084" i="1"/>
  <c r="L1084" i="1"/>
  <c r="M1084" i="1"/>
  <c r="N1084" i="1"/>
  <c r="O1084" i="1"/>
  <c r="P1084" i="1"/>
  <c r="Q1084" i="1"/>
  <c r="A1085" i="1"/>
  <c r="B1085" i="1"/>
  <c r="C1085" i="1"/>
  <c r="D1085" i="1"/>
  <c r="E1085" i="1"/>
  <c r="F1085" i="1"/>
  <c r="G1085" i="1"/>
  <c r="H1085" i="1"/>
  <c r="I1085" i="1"/>
  <c r="J1085" i="1"/>
  <c r="K1085" i="1"/>
  <c r="L1085" i="1"/>
  <c r="M1085" i="1"/>
  <c r="N1085" i="1"/>
  <c r="O1085" i="1"/>
  <c r="P1085" i="1"/>
  <c r="Q1085" i="1"/>
  <c r="A1086" i="1"/>
  <c r="B1086" i="1"/>
  <c r="C1086" i="1"/>
  <c r="D1086" i="1"/>
  <c r="E1086" i="1"/>
  <c r="F1086" i="1"/>
  <c r="G1086" i="1"/>
  <c r="H1086" i="1"/>
  <c r="I1086" i="1"/>
  <c r="J1086" i="1"/>
  <c r="K1086" i="1"/>
  <c r="L1086" i="1"/>
  <c r="M1086" i="1"/>
  <c r="N1086" i="1"/>
  <c r="O1086" i="1"/>
  <c r="P1086" i="1"/>
  <c r="Q1086" i="1"/>
  <c r="A1087" i="1"/>
  <c r="B1087" i="1"/>
  <c r="C1087" i="1"/>
  <c r="D1087" i="1"/>
  <c r="E1087" i="1"/>
  <c r="F1087" i="1"/>
  <c r="G1087" i="1"/>
  <c r="H1087" i="1"/>
  <c r="I1087" i="1"/>
  <c r="J1087" i="1"/>
  <c r="K1087" i="1"/>
  <c r="L1087" i="1"/>
  <c r="M1087" i="1"/>
  <c r="N1087" i="1"/>
  <c r="O1087" i="1"/>
  <c r="P1087" i="1"/>
  <c r="Q1087" i="1"/>
  <c r="A1088" i="1"/>
  <c r="B1088" i="1"/>
  <c r="C1088" i="1"/>
  <c r="D1088" i="1"/>
  <c r="E1088" i="1"/>
  <c r="F1088" i="1"/>
  <c r="G1088" i="1"/>
  <c r="H1088" i="1"/>
  <c r="I1088" i="1"/>
  <c r="J1088" i="1"/>
  <c r="K1088" i="1"/>
  <c r="L1088" i="1"/>
  <c r="M1088" i="1"/>
  <c r="N1088" i="1"/>
  <c r="O1088" i="1"/>
  <c r="P1088" i="1"/>
  <c r="Q1088" i="1"/>
  <c r="A1089" i="1"/>
  <c r="B1089" i="1"/>
  <c r="C1089" i="1"/>
  <c r="D1089" i="1"/>
  <c r="E1089" i="1"/>
  <c r="F1089" i="1"/>
  <c r="G1089" i="1"/>
  <c r="H1089" i="1"/>
  <c r="I1089" i="1"/>
  <c r="J1089" i="1"/>
  <c r="K1089" i="1"/>
  <c r="L1089" i="1"/>
  <c r="M1089" i="1"/>
  <c r="N1089" i="1"/>
  <c r="O1089" i="1"/>
  <c r="P1089" i="1"/>
  <c r="Q1089" i="1"/>
  <c r="A1090" i="1"/>
  <c r="B1090" i="1"/>
  <c r="C1090" i="1"/>
  <c r="E1090" i="1"/>
  <c r="F1090" i="1"/>
  <c r="G1090" i="1"/>
  <c r="H1090" i="1"/>
  <c r="I1090" i="1"/>
  <c r="J1090" i="1"/>
  <c r="K1090" i="1"/>
  <c r="L1090" i="1"/>
  <c r="M1090" i="1"/>
  <c r="N1090" i="1"/>
  <c r="O1090" i="1"/>
  <c r="P1090" i="1"/>
  <c r="Q1090" i="1"/>
  <c r="A1091" i="1"/>
  <c r="B1091" i="1"/>
  <c r="C1091" i="1"/>
  <c r="E1091" i="1"/>
  <c r="F1091" i="1"/>
  <c r="G1091" i="1"/>
  <c r="H1091" i="1"/>
  <c r="I1091" i="1"/>
  <c r="J1091" i="1"/>
  <c r="K1091" i="1"/>
  <c r="L1091" i="1"/>
  <c r="M1091" i="1"/>
  <c r="N1091" i="1"/>
  <c r="O1091" i="1"/>
  <c r="P1091" i="1"/>
  <c r="Q1091" i="1"/>
  <c r="A1092" i="1"/>
  <c r="B1092" i="1"/>
  <c r="C1092" i="1"/>
  <c r="D1092" i="1"/>
  <c r="E1092" i="1"/>
  <c r="F1092" i="1"/>
  <c r="G1092" i="1"/>
  <c r="H1092" i="1"/>
  <c r="I1092" i="1"/>
  <c r="J1092" i="1"/>
  <c r="K1092" i="1"/>
  <c r="L1092" i="1"/>
  <c r="M1092" i="1"/>
  <c r="N1092" i="1"/>
  <c r="O1092" i="1"/>
  <c r="P1092" i="1"/>
  <c r="Q1092" i="1"/>
  <c r="A1093" i="1"/>
  <c r="B1093" i="1"/>
  <c r="C1093" i="1"/>
  <c r="D1093" i="1"/>
  <c r="E1093" i="1"/>
  <c r="F1093" i="1"/>
  <c r="G1093" i="1"/>
  <c r="H1093" i="1"/>
  <c r="I1093" i="1"/>
  <c r="J1093" i="1"/>
  <c r="K1093" i="1"/>
  <c r="L1093" i="1"/>
  <c r="M1093" i="1"/>
  <c r="N1093" i="1"/>
  <c r="O1093" i="1"/>
  <c r="P1093" i="1"/>
  <c r="Q1093" i="1"/>
  <c r="A1094" i="1"/>
  <c r="B1094" i="1"/>
  <c r="C1094" i="1"/>
  <c r="D1094" i="1"/>
  <c r="E1094" i="1"/>
  <c r="F1094" i="1"/>
  <c r="G1094" i="1"/>
  <c r="H1094" i="1"/>
  <c r="I1094" i="1"/>
  <c r="J1094" i="1"/>
  <c r="K1094" i="1"/>
  <c r="L1094" i="1"/>
  <c r="M1094" i="1"/>
  <c r="N1094" i="1"/>
  <c r="O1094" i="1"/>
  <c r="P1094" i="1"/>
  <c r="Q1094" i="1"/>
  <c r="A1095" i="1"/>
  <c r="B1095" i="1"/>
  <c r="C1095" i="1"/>
  <c r="D1095" i="1"/>
  <c r="E1095" i="1"/>
  <c r="F1095" i="1"/>
  <c r="G1095" i="1"/>
  <c r="H1095" i="1"/>
  <c r="I1095" i="1"/>
  <c r="J1095" i="1"/>
  <c r="K1095" i="1"/>
  <c r="L1095" i="1"/>
  <c r="M1095" i="1"/>
  <c r="N1095" i="1"/>
  <c r="O1095" i="1"/>
  <c r="P1095" i="1"/>
  <c r="Q1095" i="1"/>
  <c r="A1096" i="1"/>
  <c r="B1096" i="1"/>
  <c r="C1096" i="1"/>
  <c r="D1096" i="1"/>
  <c r="E1096" i="1"/>
  <c r="F1096" i="1"/>
  <c r="G1096" i="1"/>
  <c r="H1096" i="1"/>
  <c r="I1096" i="1"/>
  <c r="J1096" i="1"/>
  <c r="K1096" i="1"/>
  <c r="L1096" i="1"/>
  <c r="M1096" i="1"/>
  <c r="N1096" i="1"/>
  <c r="O1096" i="1"/>
  <c r="P1096" i="1"/>
  <c r="Q1096" i="1"/>
  <c r="A1097" i="1"/>
  <c r="B1097" i="1"/>
  <c r="C1097" i="1"/>
  <c r="D1097" i="1"/>
  <c r="E1097" i="1"/>
  <c r="F1097" i="1"/>
  <c r="G1097" i="1"/>
  <c r="H1097" i="1"/>
  <c r="I1097" i="1"/>
  <c r="J1097" i="1"/>
  <c r="K1097" i="1"/>
  <c r="L1097" i="1"/>
  <c r="M1097" i="1"/>
  <c r="N1097" i="1"/>
  <c r="O1097" i="1"/>
  <c r="P1097" i="1"/>
  <c r="Q1097" i="1"/>
  <c r="A1098" i="1"/>
  <c r="B1098" i="1"/>
  <c r="C1098" i="1"/>
  <c r="D1098" i="1"/>
  <c r="E1098" i="1"/>
  <c r="F1098" i="1"/>
  <c r="G1098" i="1"/>
  <c r="H1098" i="1"/>
  <c r="I1098" i="1"/>
  <c r="J1098" i="1"/>
  <c r="K1098" i="1"/>
  <c r="L1098" i="1"/>
  <c r="M1098" i="1"/>
  <c r="N1098" i="1"/>
  <c r="O1098" i="1"/>
  <c r="P1098" i="1"/>
  <c r="Q1098" i="1"/>
  <c r="A1099" i="1"/>
  <c r="B1099" i="1"/>
  <c r="C1099" i="1"/>
  <c r="D1099" i="1"/>
  <c r="E1099" i="1"/>
  <c r="F1099" i="1"/>
  <c r="G1099" i="1"/>
  <c r="H1099" i="1"/>
  <c r="I1099" i="1"/>
  <c r="J1099" i="1"/>
  <c r="K1099" i="1"/>
  <c r="L1099" i="1"/>
  <c r="M1099" i="1"/>
  <c r="N1099" i="1"/>
  <c r="O1099" i="1"/>
  <c r="P1099" i="1"/>
  <c r="Q1099" i="1"/>
  <c r="A1100" i="1"/>
  <c r="B1100" i="1"/>
  <c r="C1100" i="1"/>
  <c r="D1100" i="1"/>
  <c r="E1100" i="1"/>
  <c r="F1100" i="1"/>
  <c r="G1100" i="1"/>
  <c r="H1100" i="1"/>
  <c r="I1100" i="1"/>
  <c r="J1100" i="1"/>
  <c r="K1100" i="1"/>
  <c r="L1100" i="1"/>
  <c r="M1100" i="1"/>
  <c r="N1100" i="1"/>
  <c r="O1100" i="1"/>
  <c r="P1100" i="1"/>
  <c r="Q1100" i="1"/>
  <c r="A1101" i="1"/>
  <c r="B1101" i="1"/>
  <c r="C1101" i="1"/>
  <c r="D1101" i="1"/>
  <c r="E1101" i="1"/>
  <c r="F1101" i="1"/>
  <c r="G1101" i="1"/>
  <c r="H1101" i="1"/>
  <c r="I1101" i="1"/>
  <c r="J1101" i="1"/>
  <c r="K1101" i="1"/>
  <c r="L1101" i="1"/>
  <c r="M1101" i="1"/>
  <c r="N1101" i="1"/>
  <c r="O1101" i="1"/>
  <c r="P1101" i="1"/>
  <c r="Q1101" i="1"/>
  <c r="A1102" i="1"/>
  <c r="B1102" i="1"/>
  <c r="C1102" i="1"/>
  <c r="D1102" i="1"/>
  <c r="E1102" i="1"/>
  <c r="F1102" i="1"/>
  <c r="G1102" i="1"/>
  <c r="H1102" i="1"/>
  <c r="I1102" i="1"/>
  <c r="J1102" i="1"/>
  <c r="K1102" i="1"/>
  <c r="L1102" i="1"/>
  <c r="M1102" i="1"/>
  <c r="N1102" i="1"/>
  <c r="O1102" i="1"/>
  <c r="P1102" i="1"/>
  <c r="Q1102" i="1"/>
  <c r="A1103" i="1"/>
  <c r="B1103" i="1"/>
  <c r="C1103" i="1"/>
  <c r="D1103" i="1"/>
  <c r="E1103" i="1"/>
  <c r="F1103" i="1"/>
  <c r="G1103" i="1"/>
  <c r="H1103" i="1"/>
  <c r="I1103" i="1"/>
  <c r="J1103" i="1"/>
  <c r="K1103" i="1"/>
  <c r="L1103" i="1"/>
  <c r="M1103" i="1"/>
  <c r="N1103" i="1"/>
  <c r="O1103" i="1"/>
  <c r="P1103" i="1"/>
  <c r="Q1103" i="1"/>
  <c r="A1104" i="1"/>
  <c r="B1104" i="1"/>
  <c r="C1104" i="1"/>
  <c r="D1104" i="1"/>
  <c r="E1104" i="1"/>
  <c r="F1104" i="1"/>
  <c r="G1104" i="1"/>
  <c r="H1104" i="1"/>
  <c r="I1104" i="1"/>
  <c r="J1104" i="1"/>
  <c r="K1104" i="1"/>
  <c r="L1104" i="1"/>
  <c r="M1104" i="1"/>
  <c r="N1104" i="1"/>
  <c r="O1104" i="1"/>
  <c r="P1104" i="1"/>
  <c r="Q1104" i="1"/>
  <c r="A1105" i="1"/>
  <c r="B1105" i="1"/>
  <c r="C1105" i="1"/>
  <c r="D1105" i="1"/>
  <c r="E1105" i="1"/>
  <c r="F1105" i="1"/>
  <c r="G1105" i="1"/>
  <c r="H1105" i="1"/>
  <c r="I1105" i="1"/>
  <c r="J1105" i="1"/>
  <c r="K1105" i="1"/>
  <c r="L1105" i="1"/>
  <c r="M1105" i="1"/>
  <c r="N1105" i="1"/>
  <c r="O1105" i="1"/>
  <c r="P1105" i="1"/>
  <c r="Q1105" i="1"/>
  <c r="A1106" i="1"/>
  <c r="B1106" i="1"/>
  <c r="C1106" i="1"/>
  <c r="D1106" i="1"/>
  <c r="E1106" i="1"/>
  <c r="F1106" i="1"/>
  <c r="G1106" i="1"/>
  <c r="H1106" i="1"/>
  <c r="I1106" i="1"/>
  <c r="J1106" i="1"/>
  <c r="K1106" i="1"/>
  <c r="L1106" i="1"/>
  <c r="M1106" i="1"/>
  <c r="N1106" i="1"/>
  <c r="O1106" i="1"/>
  <c r="P1106" i="1"/>
  <c r="Q1106" i="1"/>
  <c r="A1107" i="1"/>
  <c r="B1107" i="1"/>
  <c r="C1107" i="1"/>
  <c r="D1107" i="1"/>
  <c r="E1107" i="1"/>
  <c r="F1107" i="1"/>
  <c r="G1107" i="1"/>
  <c r="H1107" i="1"/>
  <c r="I1107" i="1"/>
  <c r="J1107" i="1"/>
  <c r="K1107" i="1"/>
  <c r="L1107" i="1"/>
  <c r="M1107" i="1"/>
  <c r="N1107" i="1"/>
  <c r="O1107" i="1"/>
  <c r="P1107" i="1"/>
  <c r="Q1107" i="1"/>
  <c r="A1108" i="1"/>
  <c r="B1108" i="1"/>
  <c r="C1108" i="1"/>
  <c r="D1108" i="1"/>
  <c r="E1108" i="1"/>
  <c r="F1108" i="1"/>
  <c r="G1108" i="1"/>
  <c r="H1108" i="1"/>
  <c r="I1108" i="1"/>
  <c r="J1108" i="1"/>
  <c r="K1108" i="1"/>
  <c r="L1108" i="1"/>
  <c r="M1108" i="1"/>
  <c r="N1108" i="1"/>
  <c r="O1108" i="1"/>
  <c r="P1108" i="1"/>
  <c r="Q1108" i="1"/>
  <c r="A1109" i="1"/>
  <c r="B1109" i="1"/>
  <c r="C1109" i="1"/>
  <c r="E1109" i="1"/>
  <c r="F1109" i="1"/>
  <c r="G1109" i="1"/>
  <c r="H1109" i="1"/>
  <c r="I1109" i="1"/>
  <c r="J1109" i="1"/>
  <c r="K1109" i="1"/>
  <c r="L1109" i="1"/>
  <c r="M1109" i="1"/>
  <c r="N1109" i="1"/>
  <c r="O1109" i="1"/>
  <c r="P1109" i="1"/>
  <c r="Q1109" i="1"/>
  <c r="A1110" i="1"/>
  <c r="B1110" i="1"/>
  <c r="C1110" i="1"/>
  <c r="D1110" i="1"/>
  <c r="E1110" i="1"/>
  <c r="F1110" i="1"/>
  <c r="G1110" i="1"/>
  <c r="H1110" i="1"/>
  <c r="I1110" i="1"/>
  <c r="J1110" i="1"/>
  <c r="K1110" i="1"/>
  <c r="L1110" i="1"/>
  <c r="M1110" i="1"/>
  <c r="N1110" i="1"/>
  <c r="O1110" i="1"/>
  <c r="P1110" i="1"/>
  <c r="Q1110" i="1"/>
  <c r="A1111" i="1"/>
  <c r="B1111" i="1"/>
  <c r="C1111" i="1"/>
  <c r="D1111" i="1"/>
  <c r="E1111" i="1"/>
  <c r="F1111" i="1"/>
  <c r="G1111" i="1"/>
  <c r="H1111" i="1"/>
  <c r="I1111" i="1"/>
  <c r="J1111" i="1"/>
  <c r="K1111" i="1"/>
  <c r="L1111" i="1"/>
  <c r="M1111" i="1"/>
  <c r="N1111" i="1"/>
  <c r="O1111" i="1"/>
  <c r="P1111" i="1"/>
  <c r="Q1111" i="1"/>
  <c r="A1112" i="1"/>
  <c r="B1112" i="1"/>
  <c r="C1112" i="1"/>
  <c r="D1112" i="1"/>
  <c r="E1112" i="1"/>
  <c r="F1112" i="1"/>
  <c r="G1112" i="1"/>
  <c r="H1112" i="1"/>
  <c r="I1112" i="1"/>
  <c r="J1112" i="1"/>
  <c r="K1112" i="1"/>
  <c r="L1112" i="1"/>
  <c r="M1112" i="1"/>
  <c r="N1112" i="1"/>
  <c r="O1112" i="1"/>
  <c r="P1112" i="1"/>
  <c r="Q1112" i="1"/>
  <c r="A1113" i="1"/>
  <c r="B1113" i="1"/>
  <c r="C1113" i="1"/>
  <c r="D1113" i="1"/>
  <c r="E1113" i="1"/>
  <c r="F1113" i="1"/>
  <c r="G1113" i="1"/>
  <c r="H1113" i="1"/>
  <c r="I1113" i="1"/>
  <c r="J1113" i="1"/>
  <c r="K1113" i="1"/>
  <c r="L1113" i="1"/>
  <c r="M1113" i="1"/>
  <c r="N1113" i="1"/>
  <c r="O1113" i="1"/>
  <c r="P1113" i="1"/>
  <c r="Q1113" i="1"/>
  <c r="A1114" i="1"/>
  <c r="B1114" i="1"/>
  <c r="C1114" i="1"/>
  <c r="E1114" i="1"/>
  <c r="F1114" i="1"/>
  <c r="G1114" i="1"/>
  <c r="H1114" i="1"/>
  <c r="I1114" i="1"/>
  <c r="J1114" i="1"/>
  <c r="K1114" i="1"/>
  <c r="L1114" i="1"/>
  <c r="M1114" i="1"/>
  <c r="N1114" i="1"/>
  <c r="O1114" i="1"/>
  <c r="P1114" i="1"/>
  <c r="Q1114" i="1"/>
  <c r="A1115" i="1"/>
  <c r="B1115" i="1"/>
  <c r="C1115" i="1"/>
  <c r="E1115" i="1"/>
  <c r="F1115" i="1"/>
  <c r="G1115" i="1"/>
  <c r="H1115" i="1"/>
  <c r="I1115" i="1"/>
  <c r="J1115" i="1"/>
  <c r="K1115" i="1"/>
  <c r="L1115" i="1"/>
  <c r="M1115" i="1"/>
  <c r="N1115" i="1"/>
  <c r="O1115" i="1"/>
  <c r="P1115" i="1"/>
  <c r="Q1115" i="1"/>
  <c r="A1116" i="1"/>
  <c r="B1116" i="1"/>
  <c r="C1116" i="1"/>
  <c r="E1116" i="1"/>
  <c r="F1116" i="1"/>
  <c r="G1116" i="1"/>
  <c r="H1116" i="1"/>
  <c r="I1116" i="1"/>
  <c r="J1116" i="1"/>
  <c r="K1116" i="1"/>
  <c r="L1116" i="1"/>
  <c r="M1116" i="1"/>
  <c r="N1116" i="1"/>
  <c r="O1116" i="1"/>
  <c r="P1116" i="1"/>
  <c r="Q1116" i="1"/>
  <c r="A1117" i="1"/>
  <c r="B1117" i="1"/>
  <c r="C1117" i="1"/>
  <c r="D1117" i="1"/>
  <c r="E1117" i="1"/>
  <c r="F1117" i="1"/>
  <c r="G1117" i="1"/>
  <c r="H1117" i="1"/>
  <c r="I1117" i="1"/>
  <c r="J1117" i="1"/>
  <c r="K1117" i="1"/>
  <c r="L1117" i="1"/>
  <c r="M1117" i="1"/>
  <c r="N1117" i="1"/>
  <c r="O1117" i="1"/>
  <c r="P1117" i="1"/>
  <c r="Q1117" i="1"/>
  <c r="A1118" i="1"/>
  <c r="B1118" i="1"/>
  <c r="C1118" i="1"/>
  <c r="E1118" i="1"/>
  <c r="F1118" i="1"/>
  <c r="G1118" i="1"/>
  <c r="H1118" i="1"/>
  <c r="I1118" i="1"/>
  <c r="J1118" i="1"/>
  <c r="K1118" i="1"/>
  <c r="L1118" i="1"/>
  <c r="M1118" i="1"/>
  <c r="N1118" i="1"/>
  <c r="O1118" i="1"/>
  <c r="P1118" i="1"/>
  <c r="Q1118" i="1"/>
  <c r="A1119" i="1"/>
  <c r="B1119" i="1"/>
  <c r="C1119" i="1"/>
  <c r="E1119" i="1"/>
  <c r="F1119" i="1"/>
  <c r="G1119" i="1"/>
  <c r="H1119" i="1"/>
  <c r="I1119" i="1"/>
  <c r="J1119" i="1"/>
  <c r="K1119" i="1"/>
  <c r="L1119" i="1"/>
  <c r="M1119" i="1"/>
  <c r="N1119" i="1"/>
  <c r="O1119" i="1"/>
  <c r="P1119" i="1"/>
  <c r="Q1119" i="1"/>
  <c r="A1120" i="1"/>
  <c r="B1120" i="1"/>
  <c r="C1120" i="1"/>
  <c r="E1120" i="1"/>
  <c r="F1120" i="1"/>
  <c r="G1120" i="1"/>
  <c r="H1120" i="1"/>
  <c r="I1120" i="1"/>
  <c r="J1120" i="1"/>
  <c r="K1120" i="1"/>
  <c r="L1120" i="1"/>
  <c r="M1120" i="1"/>
  <c r="N1120" i="1"/>
  <c r="O1120" i="1"/>
  <c r="P1120" i="1"/>
  <c r="Q1120" i="1"/>
  <c r="A1121" i="1"/>
  <c r="B1121" i="1"/>
  <c r="C1121" i="1"/>
  <c r="E1121" i="1"/>
  <c r="F1121" i="1"/>
  <c r="G1121" i="1"/>
  <c r="H1121" i="1"/>
  <c r="I1121" i="1"/>
  <c r="J1121" i="1"/>
  <c r="K1121" i="1"/>
  <c r="L1121" i="1"/>
  <c r="M1121" i="1"/>
  <c r="N1121" i="1"/>
  <c r="O1121" i="1"/>
  <c r="P1121" i="1"/>
  <c r="Q1121" i="1"/>
  <c r="A1122" i="1"/>
  <c r="B1122" i="1"/>
  <c r="C1122" i="1"/>
  <c r="D1122" i="1"/>
  <c r="E1122" i="1"/>
  <c r="F1122" i="1"/>
  <c r="G1122" i="1"/>
  <c r="H1122" i="1"/>
  <c r="I1122" i="1"/>
  <c r="J1122" i="1"/>
  <c r="K1122" i="1"/>
  <c r="L1122" i="1"/>
  <c r="M1122" i="1"/>
  <c r="N1122" i="1"/>
  <c r="O1122" i="1"/>
  <c r="P1122" i="1"/>
  <c r="Q1122" i="1"/>
  <c r="A1123" i="1"/>
  <c r="B1123" i="1"/>
  <c r="C1123" i="1"/>
  <c r="E1123" i="1"/>
  <c r="F1123" i="1"/>
  <c r="G1123" i="1"/>
  <c r="H1123" i="1"/>
  <c r="I1123" i="1"/>
  <c r="J1123" i="1"/>
  <c r="K1123" i="1"/>
  <c r="L1123" i="1"/>
  <c r="M1123" i="1"/>
  <c r="N1123" i="1"/>
  <c r="O1123" i="1"/>
  <c r="P1123" i="1"/>
  <c r="Q1123" i="1"/>
  <c r="A1124" i="1"/>
  <c r="B1124" i="1"/>
  <c r="C1124" i="1"/>
  <c r="D1124" i="1"/>
  <c r="E1124" i="1"/>
  <c r="F1124" i="1"/>
  <c r="G1124" i="1"/>
  <c r="H1124" i="1"/>
  <c r="I1124" i="1"/>
  <c r="J1124" i="1"/>
  <c r="K1124" i="1"/>
  <c r="L1124" i="1"/>
  <c r="M1124" i="1"/>
  <c r="N1124" i="1"/>
  <c r="O1124" i="1"/>
  <c r="P1124" i="1"/>
  <c r="Q1124" i="1"/>
  <c r="A1125" i="1"/>
  <c r="B1125" i="1"/>
  <c r="C1125" i="1"/>
  <c r="E1125" i="1"/>
  <c r="F1125" i="1"/>
  <c r="G1125" i="1"/>
  <c r="H1125" i="1"/>
  <c r="I1125" i="1"/>
  <c r="J1125" i="1"/>
  <c r="K1125" i="1"/>
  <c r="L1125" i="1"/>
  <c r="M1125" i="1"/>
  <c r="N1125" i="1"/>
  <c r="O1125" i="1"/>
  <c r="P1125" i="1"/>
  <c r="Q1125" i="1"/>
  <c r="A1126" i="1"/>
  <c r="B1126" i="1"/>
  <c r="C1126" i="1"/>
  <c r="D1126" i="1"/>
  <c r="E1126" i="1"/>
  <c r="F1126" i="1"/>
  <c r="G1126" i="1"/>
  <c r="H1126" i="1"/>
  <c r="I1126" i="1"/>
  <c r="J1126" i="1"/>
  <c r="K1126" i="1"/>
  <c r="L1126" i="1"/>
  <c r="M1126" i="1"/>
  <c r="N1126" i="1"/>
  <c r="O1126" i="1"/>
  <c r="P1126" i="1"/>
  <c r="Q1126" i="1"/>
  <c r="A1127" i="1"/>
  <c r="B1127" i="1"/>
  <c r="C1127" i="1"/>
  <c r="E1127" i="1"/>
  <c r="F1127" i="1"/>
  <c r="G1127" i="1"/>
  <c r="H1127" i="1"/>
  <c r="I1127" i="1"/>
  <c r="J1127" i="1"/>
  <c r="K1127" i="1"/>
  <c r="L1127" i="1"/>
  <c r="M1127" i="1"/>
  <c r="N1127" i="1"/>
  <c r="O1127" i="1"/>
  <c r="P1127" i="1"/>
  <c r="Q1127" i="1"/>
  <c r="A1128" i="1"/>
  <c r="B1128" i="1"/>
  <c r="C1128" i="1"/>
  <c r="D1128" i="1"/>
  <c r="E1128" i="1"/>
  <c r="F1128" i="1"/>
  <c r="G1128" i="1"/>
  <c r="H1128" i="1"/>
  <c r="I1128" i="1"/>
  <c r="J1128" i="1"/>
  <c r="K1128" i="1"/>
  <c r="L1128" i="1"/>
  <c r="M1128" i="1"/>
  <c r="N1128" i="1"/>
  <c r="O1128" i="1"/>
  <c r="P1128" i="1"/>
  <c r="Q1128" i="1"/>
  <c r="A1129" i="1"/>
  <c r="B1129" i="1"/>
  <c r="C1129" i="1"/>
  <c r="D1129" i="1"/>
  <c r="E1129" i="1"/>
  <c r="F1129" i="1"/>
  <c r="G1129" i="1"/>
  <c r="H1129" i="1"/>
  <c r="I1129" i="1"/>
  <c r="J1129" i="1"/>
  <c r="K1129" i="1"/>
  <c r="L1129" i="1"/>
  <c r="M1129" i="1"/>
  <c r="N1129" i="1"/>
  <c r="O1129" i="1"/>
  <c r="P1129" i="1"/>
  <c r="Q1129" i="1"/>
  <c r="A1130" i="1"/>
  <c r="B1130" i="1"/>
  <c r="C1130" i="1"/>
  <c r="D1130" i="1"/>
  <c r="E1130" i="1"/>
  <c r="F1130" i="1"/>
  <c r="G1130" i="1"/>
  <c r="H1130" i="1"/>
  <c r="I1130" i="1"/>
  <c r="J1130" i="1"/>
  <c r="K1130" i="1"/>
  <c r="L1130" i="1"/>
  <c r="M1130" i="1"/>
  <c r="N1130" i="1"/>
  <c r="O1130" i="1"/>
  <c r="P1130" i="1"/>
  <c r="Q1130" i="1"/>
  <c r="A1131" i="1"/>
  <c r="B1131" i="1"/>
  <c r="C1131" i="1"/>
  <c r="E1131" i="1"/>
  <c r="F1131" i="1"/>
  <c r="G1131" i="1"/>
  <c r="H1131" i="1"/>
  <c r="I1131" i="1"/>
  <c r="J1131" i="1"/>
  <c r="K1131" i="1"/>
  <c r="L1131" i="1"/>
  <c r="M1131" i="1"/>
  <c r="N1131" i="1"/>
  <c r="O1131" i="1"/>
  <c r="P1131" i="1"/>
  <c r="Q1131" i="1"/>
  <c r="A1132" i="1"/>
  <c r="B1132" i="1"/>
  <c r="C1132" i="1"/>
  <c r="D1132" i="1"/>
  <c r="E1132" i="1"/>
  <c r="F1132" i="1"/>
  <c r="G1132" i="1"/>
  <c r="H1132" i="1"/>
  <c r="I1132" i="1"/>
  <c r="J1132" i="1"/>
  <c r="K1132" i="1"/>
  <c r="L1132" i="1"/>
  <c r="M1132" i="1"/>
  <c r="N1132" i="1"/>
  <c r="O1132" i="1"/>
  <c r="P1132" i="1"/>
  <c r="Q1132" i="1"/>
  <c r="A1133" i="1"/>
  <c r="B1133" i="1"/>
  <c r="C1133" i="1"/>
  <c r="D1133" i="1"/>
  <c r="E1133" i="1"/>
  <c r="F1133" i="1"/>
  <c r="G1133" i="1"/>
  <c r="H1133" i="1"/>
  <c r="I1133" i="1"/>
  <c r="J1133" i="1"/>
  <c r="K1133" i="1"/>
  <c r="L1133" i="1"/>
  <c r="M1133" i="1"/>
  <c r="N1133" i="1"/>
  <c r="O1133" i="1"/>
  <c r="P1133" i="1"/>
  <c r="Q1133" i="1"/>
  <c r="A1134" i="1"/>
  <c r="B1134" i="1"/>
  <c r="C1134" i="1"/>
  <c r="D1134" i="1"/>
  <c r="E1134" i="1"/>
  <c r="F1134" i="1"/>
  <c r="G1134" i="1"/>
  <c r="H1134" i="1"/>
  <c r="I1134" i="1"/>
  <c r="J1134" i="1"/>
  <c r="K1134" i="1"/>
  <c r="L1134" i="1"/>
  <c r="M1134" i="1"/>
  <c r="N1134" i="1"/>
  <c r="O1134" i="1"/>
  <c r="P1134" i="1"/>
  <c r="Q1134" i="1"/>
  <c r="A1135" i="1"/>
  <c r="B1135" i="1"/>
  <c r="C1135" i="1"/>
  <c r="D1135" i="1"/>
  <c r="E1135" i="1"/>
  <c r="F1135" i="1"/>
  <c r="G1135" i="1"/>
  <c r="H1135" i="1"/>
  <c r="I1135" i="1"/>
  <c r="J1135" i="1"/>
  <c r="K1135" i="1"/>
  <c r="L1135" i="1"/>
  <c r="M1135" i="1"/>
  <c r="N1135" i="1"/>
  <c r="O1135" i="1"/>
  <c r="P1135" i="1"/>
  <c r="Q1135" i="1"/>
  <c r="A1136" i="1"/>
  <c r="B1136" i="1"/>
  <c r="C1136" i="1"/>
  <c r="D1136" i="1"/>
  <c r="E1136" i="1"/>
  <c r="F1136" i="1"/>
  <c r="G1136" i="1"/>
  <c r="H1136" i="1"/>
  <c r="I1136" i="1"/>
  <c r="J1136" i="1"/>
  <c r="K1136" i="1"/>
  <c r="L1136" i="1"/>
  <c r="M1136" i="1"/>
  <c r="N1136" i="1"/>
  <c r="O1136" i="1"/>
  <c r="P1136" i="1"/>
  <c r="Q1136" i="1"/>
  <c r="A1137" i="1"/>
  <c r="B1137" i="1"/>
  <c r="C1137" i="1"/>
  <c r="D1137" i="1"/>
  <c r="E1137" i="1"/>
  <c r="F1137" i="1"/>
  <c r="G1137" i="1"/>
  <c r="H1137" i="1"/>
  <c r="I1137" i="1"/>
  <c r="J1137" i="1"/>
  <c r="K1137" i="1"/>
  <c r="L1137" i="1"/>
  <c r="M1137" i="1"/>
  <c r="N1137" i="1"/>
  <c r="O1137" i="1"/>
  <c r="P1137" i="1"/>
  <c r="Q1137" i="1"/>
  <c r="A1138" i="1"/>
  <c r="B1138" i="1"/>
  <c r="C1138" i="1"/>
  <c r="D1138" i="1"/>
  <c r="E1138" i="1"/>
  <c r="F1138" i="1"/>
  <c r="G1138" i="1"/>
  <c r="H1138" i="1"/>
  <c r="I1138" i="1"/>
  <c r="J1138" i="1"/>
  <c r="K1138" i="1"/>
  <c r="L1138" i="1"/>
  <c r="M1138" i="1"/>
  <c r="N1138" i="1"/>
  <c r="O1138" i="1"/>
  <c r="P1138" i="1"/>
  <c r="Q1138" i="1"/>
  <c r="A1139" i="1"/>
  <c r="B1139" i="1"/>
  <c r="C1139" i="1"/>
  <c r="D1139" i="1"/>
  <c r="E1139" i="1"/>
  <c r="F1139" i="1"/>
  <c r="G1139" i="1"/>
  <c r="H1139" i="1"/>
  <c r="I1139" i="1"/>
  <c r="J1139" i="1"/>
  <c r="K1139" i="1"/>
  <c r="L1139" i="1"/>
  <c r="M1139" i="1"/>
  <c r="N1139" i="1"/>
  <c r="O1139" i="1"/>
  <c r="P1139" i="1"/>
  <c r="Q1139" i="1"/>
  <c r="A1140" i="1"/>
  <c r="B1140" i="1"/>
  <c r="C1140" i="1"/>
  <c r="D1140" i="1"/>
  <c r="E1140" i="1"/>
  <c r="F1140" i="1"/>
  <c r="G1140" i="1"/>
  <c r="H1140" i="1"/>
  <c r="I1140" i="1"/>
  <c r="J1140" i="1"/>
  <c r="K1140" i="1"/>
  <c r="L1140" i="1"/>
  <c r="M1140" i="1"/>
  <c r="N1140" i="1"/>
  <c r="O1140" i="1"/>
  <c r="P1140" i="1"/>
  <c r="Q1140" i="1"/>
  <c r="A1141" i="1"/>
  <c r="B1141" i="1"/>
  <c r="C1141" i="1"/>
  <c r="D1141" i="1"/>
  <c r="E1141" i="1"/>
  <c r="F1141" i="1"/>
  <c r="G1141" i="1"/>
  <c r="H1141" i="1"/>
  <c r="I1141" i="1"/>
  <c r="J1141" i="1"/>
  <c r="K1141" i="1"/>
  <c r="L1141" i="1"/>
  <c r="M1141" i="1"/>
  <c r="N1141" i="1"/>
  <c r="O1141" i="1"/>
  <c r="P1141" i="1"/>
  <c r="Q1141" i="1"/>
  <c r="A1142" i="1"/>
  <c r="B1142" i="1"/>
  <c r="C1142" i="1"/>
  <c r="D1142" i="1"/>
  <c r="E1142" i="1"/>
  <c r="F1142" i="1"/>
  <c r="G1142" i="1"/>
  <c r="H1142" i="1"/>
  <c r="I1142" i="1"/>
  <c r="J1142" i="1"/>
  <c r="K1142" i="1"/>
  <c r="L1142" i="1"/>
  <c r="M1142" i="1"/>
  <c r="N1142" i="1"/>
  <c r="O1142" i="1"/>
  <c r="P1142" i="1"/>
  <c r="Q1142" i="1"/>
  <c r="A1143" i="1"/>
  <c r="B1143" i="1"/>
  <c r="C1143" i="1"/>
  <c r="D1143" i="1"/>
  <c r="E1143" i="1"/>
  <c r="F1143" i="1"/>
  <c r="G1143" i="1"/>
  <c r="H1143" i="1"/>
  <c r="I1143" i="1"/>
  <c r="J1143" i="1"/>
  <c r="K1143" i="1"/>
  <c r="L1143" i="1"/>
  <c r="M1143" i="1"/>
  <c r="N1143" i="1"/>
  <c r="O1143" i="1"/>
  <c r="P1143" i="1"/>
  <c r="Q1143" i="1"/>
  <c r="A1144" i="1"/>
  <c r="B1144" i="1"/>
  <c r="C1144" i="1"/>
  <c r="D1144" i="1"/>
  <c r="E1144" i="1"/>
  <c r="F1144" i="1"/>
  <c r="G1144" i="1"/>
  <c r="H1144" i="1"/>
  <c r="I1144" i="1"/>
  <c r="J1144" i="1"/>
  <c r="K1144" i="1"/>
  <c r="L1144" i="1"/>
  <c r="M1144" i="1"/>
  <c r="N1144" i="1"/>
  <c r="O1144" i="1"/>
  <c r="P1144" i="1"/>
  <c r="Q1144" i="1"/>
  <c r="A1145" i="1"/>
  <c r="B1145" i="1"/>
  <c r="C1145" i="1"/>
  <c r="D1145" i="1"/>
  <c r="E1145" i="1"/>
  <c r="F1145" i="1"/>
  <c r="G1145" i="1"/>
  <c r="H1145" i="1"/>
  <c r="I1145" i="1"/>
  <c r="J1145" i="1"/>
  <c r="K1145" i="1"/>
  <c r="L1145" i="1"/>
  <c r="M1145" i="1"/>
  <c r="N1145" i="1"/>
  <c r="O1145" i="1"/>
  <c r="P1145" i="1"/>
  <c r="Q1145" i="1"/>
  <c r="A1146" i="1"/>
  <c r="B1146" i="1"/>
  <c r="C1146" i="1"/>
  <c r="D1146" i="1"/>
  <c r="E1146" i="1"/>
  <c r="F1146" i="1"/>
  <c r="G1146" i="1"/>
  <c r="H1146" i="1"/>
  <c r="I1146" i="1"/>
  <c r="J1146" i="1"/>
  <c r="K1146" i="1"/>
  <c r="L1146" i="1"/>
  <c r="M1146" i="1"/>
  <c r="N1146" i="1"/>
  <c r="O1146" i="1"/>
  <c r="P1146" i="1"/>
  <c r="Q1146" i="1"/>
  <c r="A1147" i="1"/>
  <c r="B1147" i="1"/>
  <c r="C1147" i="1"/>
  <c r="D1147" i="1"/>
  <c r="E1147" i="1"/>
  <c r="F1147" i="1"/>
  <c r="G1147" i="1"/>
  <c r="H1147" i="1"/>
  <c r="I1147" i="1"/>
  <c r="J1147" i="1"/>
  <c r="K1147" i="1"/>
  <c r="L1147" i="1"/>
  <c r="M1147" i="1"/>
  <c r="N1147" i="1"/>
  <c r="O1147" i="1"/>
  <c r="P1147" i="1"/>
  <c r="Q1147" i="1"/>
  <c r="A1148" i="1"/>
  <c r="B1148" i="1"/>
  <c r="C1148" i="1"/>
  <c r="D1148" i="1"/>
  <c r="E1148" i="1"/>
  <c r="F1148" i="1"/>
  <c r="G1148" i="1"/>
  <c r="H1148" i="1"/>
  <c r="I1148" i="1"/>
  <c r="J1148" i="1"/>
  <c r="K1148" i="1"/>
  <c r="L1148" i="1"/>
  <c r="M1148" i="1"/>
  <c r="N1148" i="1"/>
  <c r="O1148" i="1"/>
  <c r="P1148" i="1"/>
  <c r="Q1148" i="1"/>
  <c r="A1149" i="1"/>
  <c r="B1149" i="1"/>
  <c r="C1149" i="1"/>
  <c r="D1149" i="1"/>
  <c r="E1149" i="1"/>
  <c r="F1149" i="1"/>
  <c r="G1149" i="1"/>
  <c r="H1149" i="1"/>
  <c r="I1149" i="1"/>
  <c r="J1149" i="1"/>
  <c r="K1149" i="1"/>
  <c r="L1149" i="1"/>
  <c r="M1149" i="1"/>
  <c r="N1149" i="1"/>
  <c r="O1149" i="1"/>
  <c r="P1149" i="1"/>
  <c r="Q1149" i="1"/>
  <c r="A1150" i="1"/>
  <c r="B1150" i="1"/>
  <c r="C1150" i="1"/>
  <c r="E1150" i="1"/>
  <c r="F1150" i="1"/>
  <c r="G1150" i="1"/>
  <c r="H1150" i="1"/>
  <c r="I1150" i="1"/>
  <c r="J1150" i="1"/>
  <c r="K1150" i="1"/>
  <c r="L1150" i="1"/>
  <c r="M1150" i="1"/>
  <c r="N1150" i="1"/>
  <c r="O1150" i="1"/>
  <c r="P1150" i="1"/>
  <c r="Q1150" i="1"/>
  <c r="A1151" i="1"/>
  <c r="B1151" i="1"/>
  <c r="C1151" i="1"/>
  <c r="D1151" i="1"/>
  <c r="E1151" i="1"/>
  <c r="F1151" i="1"/>
  <c r="G1151" i="1"/>
  <c r="H1151" i="1"/>
  <c r="I1151" i="1"/>
  <c r="J1151" i="1"/>
  <c r="K1151" i="1"/>
  <c r="L1151" i="1"/>
  <c r="M1151" i="1"/>
  <c r="N1151" i="1"/>
  <c r="O1151" i="1"/>
  <c r="P1151" i="1"/>
  <c r="Q1151" i="1"/>
  <c r="A1152" i="1"/>
  <c r="B1152" i="1"/>
  <c r="C1152" i="1"/>
  <c r="D1152" i="1"/>
  <c r="E1152" i="1"/>
  <c r="F1152" i="1"/>
  <c r="G1152" i="1"/>
  <c r="H1152" i="1"/>
  <c r="I1152" i="1"/>
  <c r="J1152" i="1"/>
  <c r="K1152" i="1"/>
  <c r="L1152" i="1"/>
  <c r="M1152" i="1"/>
  <c r="N1152" i="1"/>
  <c r="O1152" i="1"/>
  <c r="P1152" i="1"/>
  <c r="Q1152" i="1"/>
  <c r="A1153" i="1"/>
  <c r="B1153" i="1"/>
  <c r="C1153" i="1"/>
  <c r="E1153" i="1"/>
  <c r="F1153" i="1"/>
  <c r="G1153" i="1"/>
  <c r="H1153" i="1"/>
  <c r="I1153" i="1"/>
  <c r="J1153" i="1"/>
  <c r="K1153" i="1"/>
  <c r="L1153" i="1"/>
  <c r="M1153" i="1"/>
  <c r="N1153" i="1"/>
  <c r="O1153" i="1"/>
  <c r="P1153" i="1"/>
  <c r="Q1153" i="1"/>
  <c r="A1154" i="1"/>
  <c r="B1154" i="1"/>
  <c r="C1154" i="1"/>
  <c r="D1154" i="1"/>
  <c r="E1154" i="1"/>
  <c r="F1154" i="1"/>
  <c r="G1154" i="1"/>
  <c r="H1154" i="1"/>
  <c r="I1154" i="1"/>
  <c r="J1154" i="1"/>
  <c r="K1154" i="1"/>
  <c r="L1154" i="1"/>
  <c r="M1154" i="1"/>
  <c r="N1154" i="1"/>
  <c r="O1154" i="1"/>
  <c r="P1154" i="1"/>
  <c r="Q1154" i="1"/>
  <c r="A1155" i="1"/>
  <c r="B1155" i="1"/>
  <c r="C1155" i="1"/>
  <c r="D1155" i="1"/>
  <c r="E1155" i="1"/>
  <c r="F1155" i="1"/>
  <c r="G1155" i="1"/>
  <c r="H1155" i="1"/>
  <c r="I1155" i="1"/>
  <c r="J1155" i="1"/>
  <c r="K1155" i="1"/>
  <c r="L1155" i="1"/>
  <c r="M1155" i="1"/>
  <c r="N1155" i="1"/>
  <c r="O1155" i="1"/>
  <c r="P1155" i="1"/>
  <c r="Q1155" i="1"/>
  <c r="A1156" i="1"/>
  <c r="B1156" i="1"/>
  <c r="C1156" i="1"/>
  <c r="E1156" i="1"/>
  <c r="F1156" i="1"/>
  <c r="G1156" i="1"/>
  <c r="H1156" i="1"/>
  <c r="I1156" i="1"/>
  <c r="J1156" i="1"/>
  <c r="K1156" i="1"/>
  <c r="L1156" i="1"/>
  <c r="M1156" i="1"/>
  <c r="N1156" i="1"/>
  <c r="O1156" i="1"/>
  <c r="P1156" i="1"/>
  <c r="Q1156" i="1"/>
  <c r="A1157" i="1"/>
  <c r="B1157" i="1"/>
  <c r="C1157" i="1"/>
  <c r="D1157" i="1"/>
  <c r="E1157" i="1"/>
  <c r="F1157" i="1"/>
  <c r="G1157" i="1"/>
  <c r="H1157" i="1"/>
  <c r="I1157" i="1"/>
  <c r="J1157" i="1"/>
  <c r="K1157" i="1"/>
  <c r="L1157" i="1"/>
  <c r="M1157" i="1"/>
  <c r="N1157" i="1"/>
  <c r="O1157" i="1"/>
  <c r="P1157" i="1"/>
  <c r="Q1157" i="1"/>
  <c r="A1158" i="1"/>
  <c r="B1158" i="1"/>
  <c r="C1158" i="1"/>
  <c r="D1158" i="1"/>
  <c r="E1158" i="1"/>
  <c r="F1158" i="1"/>
  <c r="G1158" i="1"/>
  <c r="H1158" i="1"/>
  <c r="I1158" i="1"/>
  <c r="J1158" i="1"/>
  <c r="K1158" i="1"/>
  <c r="L1158" i="1"/>
  <c r="M1158" i="1"/>
  <c r="N1158" i="1"/>
  <c r="O1158" i="1"/>
  <c r="P1158" i="1"/>
  <c r="Q1158" i="1"/>
  <c r="A1159" i="1"/>
  <c r="B1159" i="1"/>
  <c r="C1159" i="1"/>
  <c r="D1159" i="1"/>
  <c r="E1159" i="1"/>
  <c r="F1159" i="1"/>
  <c r="G1159" i="1"/>
  <c r="H1159" i="1"/>
  <c r="I1159" i="1"/>
  <c r="J1159" i="1"/>
  <c r="K1159" i="1"/>
  <c r="L1159" i="1"/>
  <c r="M1159" i="1"/>
  <c r="N1159" i="1"/>
  <c r="O1159" i="1"/>
  <c r="P1159" i="1"/>
  <c r="Q1159" i="1"/>
  <c r="A1160" i="1"/>
  <c r="B1160" i="1"/>
  <c r="C1160" i="1"/>
  <c r="D1160" i="1"/>
  <c r="E1160" i="1"/>
  <c r="F1160" i="1"/>
  <c r="G1160" i="1"/>
  <c r="H1160" i="1"/>
  <c r="I1160" i="1"/>
  <c r="J1160" i="1"/>
  <c r="K1160" i="1"/>
  <c r="L1160" i="1"/>
  <c r="M1160" i="1"/>
  <c r="N1160" i="1"/>
  <c r="O1160" i="1"/>
  <c r="P1160" i="1"/>
  <c r="Q1160" i="1"/>
  <c r="A1161" i="1"/>
  <c r="B1161" i="1"/>
  <c r="C1161" i="1"/>
  <c r="D1161" i="1"/>
  <c r="E1161" i="1"/>
  <c r="F1161" i="1"/>
  <c r="G1161" i="1"/>
  <c r="H1161" i="1"/>
  <c r="I1161" i="1"/>
  <c r="J1161" i="1"/>
  <c r="K1161" i="1"/>
  <c r="L1161" i="1"/>
  <c r="M1161" i="1"/>
  <c r="N1161" i="1"/>
  <c r="O1161" i="1"/>
  <c r="P1161" i="1"/>
  <c r="Q1161" i="1"/>
  <c r="A1162" i="1"/>
  <c r="B1162" i="1"/>
  <c r="C1162" i="1"/>
  <c r="D1162" i="1"/>
  <c r="E1162" i="1"/>
  <c r="F1162" i="1"/>
  <c r="G1162" i="1"/>
  <c r="H1162" i="1"/>
  <c r="I1162" i="1"/>
  <c r="J1162" i="1"/>
  <c r="K1162" i="1"/>
  <c r="L1162" i="1"/>
  <c r="M1162" i="1"/>
  <c r="N1162" i="1"/>
  <c r="O1162" i="1"/>
  <c r="P1162" i="1"/>
  <c r="Q1162" i="1"/>
  <c r="A1163" i="1"/>
  <c r="B1163" i="1"/>
  <c r="C1163" i="1"/>
  <c r="E1163" i="1"/>
  <c r="F1163" i="1"/>
  <c r="G1163" i="1"/>
  <c r="H1163" i="1"/>
  <c r="I1163" i="1"/>
  <c r="J1163" i="1"/>
  <c r="K1163" i="1"/>
  <c r="L1163" i="1"/>
  <c r="M1163" i="1"/>
  <c r="N1163" i="1"/>
  <c r="O1163" i="1"/>
  <c r="P1163" i="1"/>
  <c r="Q1163" i="1"/>
  <c r="A1164" i="1"/>
  <c r="B1164" i="1"/>
  <c r="C1164" i="1"/>
  <c r="D1164" i="1"/>
  <c r="E1164" i="1"/>
  <c r="F1164" i="1"/>
  <c r="G1164" i="1"/>
  <c r="H1164" i="1"/>
  <c r="I1164" i="1"/>
  <c r="J1164" i="1"/>
  <c r="K1164" i="1"/>
  <c r="L1164" i="1"/>
  <c r="M1164" i="1"/>
  <c r="N1164" i="1"/>
  <c r="O1164" i="1"/>
  <c r="P1164" i="1"/>
  <c r="Q1164" i="1"/>
  <c r="A1165" i="1"/>
  <c r="B1165" i="1"/>
  <c r="C1165" i="1"/>
  <c r="E1165" i="1"/>
  <c r="F1165" i="1"/>
  <c r="G1165" i="1"/>
  <c r="H1165" i="1"/>
  <c r="I1165" i="1"/>
  <c r="J1165" i="1"/>
  <c r="K1165" i="1"/>
  <c r="L1165" i="1"/>
  <c r="M1165" i="1"/>
  <c r="N1165" i="1"/>
  <c r="O1165" i="1"/>
  <c r="P1165" i="1"/>
  <c r="Q1165" i="1"/>
  <c r="A1166" i="1"/>
  <c r="B1166" i="1"/>
  <c r="C1166" i="1"/>
  <c r="D1166" i="1"/>
  <c r="E1166" i="1"/>
  <c r="F1166" i="1"/>
  <c r="G1166" i="1"/>
  <c r="H1166" i="1"/>
  <c r="I1166" i="1"/>
  <c r="J1166" i="1"/>
  <c r="K1166" i="1"/>
  <c r="L1166" i="1"/>
  <c r="M1166" i="1"/>
  <c r="N1166" i="1"/>
  <c r="O1166" i="1"/>
  <c r="P1166" i="1"/>
  <c r="Q1166" i="1"/>
  <c r="A1167" i="1"/>
  <c r="B1167" i="1"/>
  <c r="C1167" i="1"/>
  <c r="D1167" i="1"/>
  <c r="E1167" i="1"/>
  <c r="F1167" i="1"/>
  <c r="G1167" i="1"/>
  <c r="H1167" i="1"/>
  <c r="I1167" i="1"/>
  <c r="J1167" i="1"/>
  <c r="K1167" i="1"/>
  <c r="L1167" i="1"/>
  <c r="M1167" i="1"/>
  <c r="N1167" i="1"/>
  <c r="O1167" i="1"/>
  <c r="P1167" i="1"/>
  <c r="Q1167" i="1"/>
  <c r="A1168" i="1"/>
  <c r="B1168" i="1"/>
  <c r="C1168" i="1"/>
  <c r="D1168" i="1"/>
  <c r="E1168" i="1"/>
  <c r="F1168" i="1"/>
  <c r="G1168" i="1"/>
  <c r="H1168" i="1"/>
  <c r="I1168" i="1"/>
  <c r="J1168" i="1"/>
  <c r="K1168" i="1"/>
  <c r="L1168" i="1"/>
  <c r="M1168" i="1"/>
  <c r="N1168" i="1"/>
  <c r="O1168" i="1"/>
  <c r="P1168" i="1"/>
  <c r="Q1168" i="1"/>
  <c r="A1169" i="1"/>
  <c r="B1169" i="1"/>
  <c r="C1169" i="1"/>
  <c r="D1169" i="1"/>
  <c r="E1169" i="1"/>
  <c r="F1169" i="1"/>
  <c r="G1169" i="1"/>
  <c r="H1169" i="1"/>
  <c r="I1169" i="1"/>
  <c r="J1169" i="1"/>
  <c r="K1169" i="1"/>
  <c r="L1169" i="1"/>
  <c r="M1169" i="1"/>
  <c r="N1169" i="1"/>
  <c r="O1169" i="1"/>
  <c r="P1169" i="1"/>
  <c r="Q1169" i="1"/>
  <c r="A1170" i="1"/>
  <c r="B1170" i="1"/>
  <c r="C1170" i="1"/>
  <c r="E1170" i="1"/>
  <c r="F1170" i="1"/>
  <c r="G1170" i="1"/>
  <c r="H1170" i="1"/>
  <c r="I1170" i="1"/>
  <c r="J1170" i="1"/>
  <c r="K1170" i="1"/>
  <c r="L1170" i="1"/>
  <c r="M1170" i="1"/>
  <c r="N1170" i="1"/>
  <c r="O1170" i="1"/>
  <c r="P1170" i="1"/>
  <c r="Q1170" i="1"/>
  <c r="A1171" i="1"/>
  <c r="B1171" i="1"/>
  <c r="C1171" i="1"/>
  <c r="E1171" i="1"/>
  <c r="F1171" i="1"/>
  <c r="G1171" i="1"/>
  <c r="H1171" i="1"/>
  <c r="I1171" i="1"/>
  <c r="J1171" i="1"/>
  <c r="K1171" i="1"/>
  <c r="L1171" i="1"/>
  <c r="M1171" i="1"/>
  <c r="N1171" i="1"/>
  <c r="O1171" i="1"/>
  <c r="P1171" i="1"/>
  <c r="Q1171" i="1"/>
  <c r="A1172" i="1"/>
  <c r="B1172" i="1"/>
  <c r="C1172" i="1"/>
  <c r="E1172" i="1"/>
  <c r="F1172" i="1"/>
  <c r="G1172" i="1"/>
  <c r="H1172" i="1"/>
  <c r="I1172" i="1"/>
  <c r="J1172" i="1"/>
  <c r="K1172" i="1"/>
  <c r="L1172" i="1"/>
  <c r="M1172" i="1"/>
  <c r="N1172" i="1"/>
  <c r="O1172" i="1"/>
  <c r="P1172" i="1"/>
  <c r="Q1172" i="1"/>
  <c r="A1173" i="1"/>
  <c r="B1173" i="1"/>
  <c r="C1173" i="1"/>
  <c r="D1173" i="1"/>
  <c r="E1173" i="1"/>
  <c r="F1173" i="1"/>
  <c r="G1173" i="1"/>
  <c r="H1173" i="1"/>
  <c r="I1173" i="1"/>
  <c r="J1173" i="1"/>
  <c r="K1173" i="1"/>
  <c r="L1173" i="1"/>
  <c r="M1173" i="1"/>
  <c r="N1173" i="1"/>
  <c r="O1173" i="1"/>
  <c r="P1173" i="1"/>
  <c r="Q1173" i="1"/>
  <c r="A1174" i="1"/>
  <c r="B1174" i="1"/>
  <c r="C1174" i="1"/>
  <c r="D1174" i="1"/>
  <c r="E1174" i="1"/>
  <c r="F1174" i="1"/>
  <c r="G1174" i="1"/>
  <c r="H1174" i="1"/>
  <c r="I1174" i="1"/>
  <c r="J1174" i="1"/>
  <c r="K1174" i="1"/>
  <c r="L1174" i="1"/>
  <c r="M1174" i="1"/>
  <c r="N1174" i="1"/>
  <c r="O1174" i="1"/>
  <c r="P1174" i="1"/>
  <c r="Q1174" i="1"/>
  <c r="A1175" i="1"/>
  <c r="B1175" i="1"/>
  <c r="C1175" i="1"/>
  <c r="E1175" i="1"/>
  <c r="F1175" i="1"/>
  <c r="G1175" i="1"/>
  <c r="H1175" i="1"/>
  <c r="I1175" i="1"/>
  <c r="J1175" i="1"/>
  <c r="K1175" i="1"/>
  <c r="L1175" i="1"/>
  <c r="M1175" i="1"/>
  <c r="N1175" i="1"/>
  <c r="O1175" i="1"/>
  <c r="P1175" i="1"/>
  <c r="Q1175" i="1"/>
  <c r="A1176" i="1"/>
  <c r="B1176" i="1"/>
  <c r="C1176" i="1"/>
  <c r="D1176" i="1"/>
  <c r="E1176" i="1"/>
  <c r="F1176" i="1"/>
  <c r="G1176" i="1"/>
  <c r="H1176" i="1"/>
  <c r="I1176" i="1"/>
  <c r="J1176" i="1"/>
  <c r="K1176" i="1"/>
  <c r="L1176" i="1"/>
  <c r="M1176" i="1"/>
  <c r="N1176" i="1"/>
  <c r="O1176" i="1"/>
  <c r="P1176" i="1"/>
  <c r="Q1176" i="1"/>
  <c r="A1177" i="1"/>
  <c r="B1177" i="1"/>
  <c r="C1177" i="1"/>
  <c r="D1177" i="1"/>
  <c r="E1177" i="1"/>
  <c r="F1177" i="1"/>
  <c r="G1177" i="1"/>
  <c r="H1177" i="1"/>
  <c r="I1177" i="1"/>
  <c r="J1177" i="1"/>
  <c r="K1177" i="1"/>
  <c r="L1177" i="1"/>
  <c r="M1177" i="1"/>
  <c r="N1177" i="1"/>
  <c r="O1177" i="1"/>
  <c r="P1177" i="1"/>
  <c r="Q1177" i="1"/>
  <c r="A1178" i="1"/>
  <c r="B1178" i="1"/>
  <c r="C1178" i="1"/>
  <c r="D1178" i="1"/>
  <c r="E1178" i="1"/>
  <c r="F1178" i="1"/>
  <c r="G1178" i="1"/>
  <c r="H1178" i="1"/>
  <c r="I1178" i="1"/>
  <c r="J1178" i="1"/>
  <c r="K1178" i="1"/>
  <c r="L1178" i="1"/>
  <c r="M1178" i="1"/>
  <c r="N1178" i="1"/>
  <c r="O1178" i="1"/>
  <c r="P1178" i="1"/>
  <c r="Q1178" i="1"/>
  <c r="A1179" i="1"/>
  <c r="B1179" i="1"/>
  <c r="C1179" i="1"/>
  <c r="D1179" i="1"/>
  <c r="E1179" i="1"/>
  <c r="F1179" i="1"/>
  <c r="G1179" i="1"/>
  <c r="H1179" i="1"/>
  <c r="I1179" i="1"/>
  <c r="J1179" i="1"/>
  <c r="K1179" i="1"/>
  <c r="L1179" i="1"/>
  <c r="M1179" i="1"/>
  <c r="N1179" i="1"/>
  <c r="O1179" i="1"/>
  <c r="P1179" i="1"/>
  <c r="Q1179" i="1"/>
  <c r="A1180" i="1"/>
  <c r="B1180" i="1"/>
  <c r="C1180" i="1"/>
  <c r="D1180" i="1"/>
  <c r="E1180" i="1"/>
  <c r="F1180" i="1"/>
  <c r="G1180" i="1"/>
  <c r="H1180" i="1"/>
  <c r="I1180" i="1"/>
  <c r="J1180" i="1"/>
  <c r="K1180" i="1"/>
  <c r="L1180" i="1"/>
  <c r="M1180" i="1"/>
  <c r="N1180" i="1"/>
  <c r="O1180" i="1"/>
  <c r="P1180" i="1"/>
  <c r="Q1180" i="1"/>
  <c r="A1181" i="1"/>
  <c r="B1181" i="1"/>
  <c r="C1181" i="1"/>
  <c r="D1181" i="1"/>
  <c r="E1181" i="1"/>
  <c r="F1181" i="1"/>
  <c r="G1181" i="1"/>
  <c r="H1181" i="1"/>
  <c r="I1181" i="1"/>
  <c r="J1181" i="1"/>
  <c r="K1181" i="1"/>
  <c r="L1181" i="1"/>
  <c r="M1181" i="1"/>
  <c r="N1181" i="1"/>
  <c r="O1181" i="1"/>
  <c r="P1181" i="1"/>
  <c r="Q1181" i="1"/>
  <c r="A1182" i="1"/>
  <c r="B1182" i="1"/>
  <c r="C1182" i="1"/>
  <c r="D1182" i="1"/>
  <c r="E1182" i="1"/>
  <c r="F1182" i="1"/>
  <c r="G1182" i="1"/>
  <c r="H1182" i="1"/>
  <c r="I1182" i="1"/>
  <c r="J1182" i="1"/>
  <c r="K1182" i="1"/>
  <c r="L1182" i="1"/>
  <c r="M1182" i="1"/>
  <c r="N1182" i="1"/>
  <c r="O1182" i="1"/>
  <c r="P1182" i="1"/>
  <c r="Q1182" i="1"/>
  <c r="A1183" i="1"/>
  <c r="B1183" i="1"/>
  <c r="C1183" i="1"/>
  <c r="D1183" i="1"/>
  <c r="E1183" i="1"/>
  <c r="F1183" i="1"/>
  <c r="G1183" i="1"/>
  <c r="H1183" i="1"/>
  <c r="I1183" i="1"/>
  <c r="J1183" i="1"/>
  <c r="K1183" i="1"/>
  <c r="L1183" i="1"/>
  <c r="M1183" i="1"/>
  <c r="N1183" i="1"/>
  <c r="O1183" i="1"/>
  <c r="P1183" i="1"/>
  <c r="Q1183" i="1"/>
  <c r="A1184" i="1"/>
  <c r="B1184" i="1"/>
  <c r="C1184" i="1"/>
  <c r="E1184" i="1"/>
  <c r="F1184" i="1"/>
  <c r="G1184" i="1"/>
  <c r="H1184" i="1"/>
  <c r="I1184" i="1"/>
  <c r="J1184" i="1"/>
  <c r="K1184" i="1"/>
  <c r="L1184" i="1"/>
  <c r="M1184" i="1"/>
  <c r="N1184" i="1"/>
  <c r="O1184" i="1"/>
  <c r="P1184" i="1"/>
  <c r="Q1184" i="1"/>
  <c r="A1185" i="1"/>
  <c r="B1185" i="1"/>
  <c r="C1185" i="1"/>
  <c r="D1185" i="1"/>
  <c r="E1185" i="1"/>
  <c r="F1185" i="1"/>
  <c r="G1185" i="1"/>
  <c r="H1185" i="1"/>
  <c r="I1185" i="1"/>
  <c r="J1185" i="1"/>
  <c r="K1185" i="1"/>
  <c r="L1185" i="1"/>
  <c r="M1185" i="1"/>
  <c r="N1185" i="1"/>
  <c r="O1185" i="1"/>
  <c r="P1185" i="1"/>
  <c r="Q1185" i="1"/>
  <c r="A1186" i="1"/>
  <c r="B1186" i="1"/>
  <c r="C1186" i="1"/>
  <c r="D1186" i="1"/>
  <c r="E1186" i="1"/>
  <c r="F1186" i="1"/>
  <c r="G1186" i="1"/>
  <c r="H1186" i="1"/>
  <c r="I1186" i="1"/>
  <c r="J1186" i="1"/>
  <c r="K1186" i="1"/>
  <c r="L1186" i="1"/>
  <c r="M1186" i="1"/>
  <c r="N1186" i="1"/>
  <c r="O1186" i="1"/>
  <c r="P1186" i="1"/>
  <c r="Q1186" i="1"/>
  <c r="A1187" i="1"/>
  <c r="B1187" i="1"/>
  <c r="C1187" i="1"/>
  <c r="D1187" i="1"/>
  <c r="E1187" i="1"/>
  <c r="F1187" i="1"/>
  <c r="G1187" i="1"/>
  <c r="H1187" i="1"/>
  <c r="I1187" i="1"/>
  <c r="J1187" i="1"/>
  <c r="K1187" i="1"/>
  <c r="L1187" i="1"/>
  <c r="M1187" i="1"/>
  <c r="N1187" i="1"/>
  <c r="O1187" i="1"/>
  <c r="P1187" i="1"/>
  <c r="Q1187" i="1"/>
  <c r="A1188" i="1"/>
  <c r="B1188" i="1"/>
  <c r="C1188" i="1"/>
  <c r="E1188" i="1"/>
  <c r="F1188" i="1"/>
  <c r="G1188" i="1"/>
  <c r="H1188" i="1"/>
  <c r="I1188" i="1"/>
  <c r="J1188" i="1"/>
  <c r="K1188" i="1"/>
  <c r="L1188" i="1"/>
  <c r="M1188" i="1"/>
  <c r="N1188" i="1"/>
  <c r="O1188" i="1"/>
  <c r="P1188" i="1"/>
  <c r="Q1188" i="1"/>
  <c r="A1189" i="1"/>
  <c r="B1189" i="1"/>
  <c r="C1189" i="1"/>
  <c r="D1189" i="1"/>
  <c r="E1189" i="1"/>
  <c r="F1189" i="1"/>
  <c r="G1189" i="1"/>
  <c r="H1189" i="1"/>
  <c r="I1189" i="1"/>
  <c r="J1189" i="1"/>
  <c r="K1189" i="1"/>
  <c r="L1189" i="1"/>
  <c r="M1189" i="1"/>
  <c r="N1189" i="1"/>
  <c r="O1189" i="1"/>
  <c r="P1189" i="1"/>
  <c r="Q1189" i="1"/>
  <c r="A1190" i="1"/>
  <c r="B1190" i="1"/>
  <c r="C1190" i="1"/>
  <c r="D1190" i="1"/>
  <c r="E1190" i="1"/>
  <c r="F1190" i="1"/>
  <c r="G1190" i="1"/>
  <c r="H1190" i="1"/>
  <c r="I1190" i="1"/>
  <c r="J1190" i="1"/>
  <c r="K1190" i="1"/>
  <c r="L1190" i="1"/>
  <c r="M1190" i="1"/>
  <c r="N1190" i="1"/>
  <c r="O1190" i="1"/>
  <c r="P1190" i="1"/>
  <c r="Q1190" i="1"/>
  <c r="A1191" i="1"/>
  <c r="B1191" i="1"/>
  <c r="C1191" i="1"/>
  <c r="D1191" i="1"/>
  <c r="E1191" i="1"/>
  <c r="F1191" i="1"/>
  <c r="G1191" i="1"/>
  <c r="H1191" i="1"/>
  <c r="I1191" i="1"/>
  <c r="J1191" i="1"/>
  <c r="K1191" i="1"/>
  <c r="L1191" i="1"/>
  <c r="M1191" i="1"/>
  <c r="N1191" i="1"/>
  <c r="O1191" i="1"/>
  <c r="P1191" i="1"/>
  <c r="Q1191" i="1"/>
  <c r="A1192" i="1"/>
  <c r="B1192" i="1"/>
  <c r="C1192" i="1"/>
  <c r="E1192" i="1"/>
  <c r="F1192" i="1"/>
  <c r="G1192" i="1"/>
  <c r="H1192" i="1"/>
  <c r="I1192" i="1"/>
  <c r="J1192" i="1"/>
  <c r="K1192" i="1"/>
  <c r="L1192" i="1"/>
  <c r="M1192" i="1"/>
  <c r="N1192" i="1"/>
  <c r="O1192" i="1"/>
  <c r="P1192" i="1"/>
  <c r="Q1192" i="1"/>
  <c r="A1193" i="1"/>
  <c r="B1193" i="1"/>
  <c r="C1193" i="1"/>
  <c r="D1193" i="1"/>
  <c r="E1193" i="1"/>
  <c r="F1193" i="1"/>
  <c r="G1193" i="1"/>
  <c r="H1193" i="1"/>
  <c r="I1193" i="1"/>
  <c r="J1193" i="1"/>
  <c r="K1193" i="1"/>
  <c r="L1193" i="1"/>
  <c r="M1193" i="1"/>
  <c r="N1193" i="1"/>
  <c r="O1193" i="1"/>
  <c r="P1193" i="1"/>
  <c r="Q1193" i="1"/>
  <c r="A1194" i="1"/>
  <c r="B1194" i="1"/>
  <c r="C1194" i="1"/>
  <c r="D1194" i="1"/>
  <c r="E1194" i="1"/>
  <c r="F1194" i="1"/>
  <c r="G1194" i="1"/>
  <c r="H1194" i="1"/>
  <c r="I1194" i="1"/>
  <c r="J1194" i="1"/>
  <c r="K1194" i="1"/>
  <c r="L1194" i="1"/>
  <c r="M1194" i="1"/>
  <c r="N1194" i="1"/>
  <c r="O1194" i="1"/>
  <c r="P1194" i="1"/>
  <c r="Q1194" i="1"/>
  <c r="A1195" i="1"/>
  <c r="B1195" i="1"/>
  <c r="C1195" i="1"/>
  <c r="D1195" i="1"/>
  <c r="E1195" i="1"/>
  <c r="F1195" i="1"/>
  <c r="G1195" i="1"/>
  <c r="H1195" i="1"/>
  <c r="I1195" i="1"/>
  <c r="J1195" i="1"/>
  <c r="K1195" i="1"/>
  <c r="L1195" i="1"/>
  <c r="M1195" i="1"/>
  <c r="N1195" i="1"/>
  <c r="O1195" i="1"/>
  <c r="P1195" i="1"/>
  <c r="Q1195" i="1"/>
  <c r="A1196" i="1"/>
  <c r="B1196" i="1"/>
  <c r="C1196" i="1"/>
  <c r="D1196" i="1"/>
  <c r="E1196" i="1"/>
  <c r="F1196" i="1"/>
  <c r="G1196" i="1"/>
  <c r="H1196" i="1"/>
  <c r="I1196" i="1"/>
  <c r="J1196" i="1"/>
  <c r="K1196" i="1"/>
  <c r="L1196" i="1"/>
  <c r="M1196" i="1"/>
  <c r="N1196" i="1"/>
  <c r="O1196" i="1"/>
  <c r="P1196" i="1"/>
  <c r="Q1196" i="1"/>
  <c r="A1197" i="1"/>
  <c r="B1197" i="1"/>
  <c r="C1197" i="1"/>
  <c r="D1197" i="1"/>
  <c r="E1197" i="1"/>
  <c r="F1197" i="1"/>
  <c r="G1197" i="1"/>
  <c r="H1197" i="1"/>
  <c r="I1197" i="1"/>
  <c r="J1197" i="1"/>
  <c r="K1197" i="1"/>
  <c r="L1197" i="1"/>
  <c r="M1197" i="1"/>
  <c r="N1197" i="1"/>
  <c r="O1197" i="1"/>
  <c r="P1197" i="1"/>
  <c r="Q1197" i="1"/>
  <c r="A1198" i="1"/>
  <c r="B1198" i="1"/>
  <c r="C1198" i="1"/>
  <c r="D1198" i="1"/>
  <c r="E1198" i="1"/>
  <c r="F1198" i="1"/>
  <c r="G1198" i="1"/>
  <c r="H1198" i="1"/>
  <c r="I1198" i="1"/>
  <c r="J1198" i="1"/>
  <c r="K1198" i="1"/>
  <c r="L1198" i="1"/>
  <c r="M1198" i="1"/>
  <c r="N1198" i="1"/>
  <c r="O1198" i="1"/>
  <c r="P1198" i="1"/>
  <c r="Q1198" i="1"/>
  <c r="A1199" i="1"/>
  <c r="B1199" i="1"/>
  <c r="C1199" i="1"/>
  <c r="D1199" i="1"/>
  <c r="E1199" i="1"/>
  <c r="F1199" i="1"/>
  <c r="G1199" i="1"/>
  <c r="H1199" i="1"/>
  <c r="I1199" i="1"/>
  <c r="J1199" i="1"/>
  <c r="K1199" i="1"/>
  <c r="L1199" i="1"/>
  <c r="M1199" i="1"/>
  <c r="N1199" i="1"/>
  <c r="O1199" i="1"/>
  <c r="P1199" i="1"/>
  <c r="Q1199" i="1"/>
  <c r="A1200" i="1"/>
  <c r="B1200" i="1"/>
  <c r="C1200" i="1"/>
  <c r="D1200" i="1"/>
  <c r="E1200" i="1"/>
  <c r="F1200" i="1"/>
  <c r="G1200" i="1"/>
  <c r="H1200" i="1"/>
  <c r="I1200" i="1"/>
  <c r="J1200" i="1"/>
  <c r="K1200" i="1"/>
  <c r="L1200" i="1"/>
  <c r="M1200" i="1"/>
  <c r="N1200" i="1"/>
  <c r="O1200" i="1"/>
  <c r="P1200" i="1"/>
  <c r="Q1200" i="1"/>
  <c r="A1201" i="1"/>
  <c r="B1201" i="1"/>
  <c r="C1201" i="1"/>
  <c r="D1201" i="1"/>
  <c r="E1201" i="1"/>
  <c r="F1201" i="1"/>
  <c r="G1201" i="1"/>
  <c r="H1201" i="1"/>
  <c r="I1201" i="1"/>
  <c r="J1201" i="1"/>
  <c r="K1201" i="1"/>
  <c r="L1201" i="1"/>
  <c r="M1201" i="1"/>
  <c r="N1201" i="1"/>
  <c r="O1201" i="1"/>
  <c r="P1201" i="1"/>
  <c r="Q1201" i="1"/>
  <c r="A1202" i="1"/>
  <c r="B1202" i="1"/>
  <c r="C1202" i="1"/>
  <c r="D1202" i="1"/>
  <c r="E1202" i="1"/>
  <c r="F1202" i="1"/>
  <c r="G1202" i="1"/>
  <c r="H1202" i="1"/>
  <c r="I1202" i="1"/>
  <c r="J1202" i="1"/>
  <c r="K1202" i="1"/>
  <c r="L1202" i="1"/>
  <c r="M1202" i="1"/>
  <c r="N1202" i="1"/>
  <c r="O1202" i="1"/>
  <c r="P1202" i="1"/>
  <c r="Q1202" i="1"/>
  <c r="A1203" i="1"/>
  <c r="B1203" i="1"/>
  <c r="C1203" i="1"/>
  <c r="D1203" i="1"/>
  <c r="E1203" i="1"/>
  <c r="F1203" i="1"/>
  <c r="G1203" i="1"/>
  <c r="H1203" i="1"/>
  <c r="I1203" i="1"/>
  <c r="J1203" i="1"/>
  <c r="K1203" i="1"/>
  <c r="L1203" i="1"/>
  <c r="M1203" i="1"/>
  <c r="N1203" i="1"/>
  <c r="O1203" i="1"/>
  <c r="P1203" i="1"/>
  <c r="Q1203" i="1"/>
  <c r="A1204" i="1"/>
  <c r="B1204" i="1"/>
  <c r="C1204" i="1"/>
  <c r="D1204" i="1"/>
  <c r="E1204" i="1"/>
  <c r="F1204" i="1"/>
  <c r="G1204" i="1"/>
  <c r="H1204" i="1"/>
  <c r="I1204" i="1"/>
  <c r="J1204" i="1"/>
  <c r="K1204" i="1"/>
  <c r="L1204" i="1"/>
  <c r="M1204" i="1"/>
  <c r="N1204" i="1"/>
  <c r="O1204" i="1"/>
  <c r="P1204" i="1"/>
  <c r="Q1204" i="1"/>
  <c r="A1205" i="1"/>
  <c r="B1205" i="1"/>
  <c r="C1205" i="1"/>
  <c r="D1205" i="1"/>
  <c r="E1205" i="1"/>
  <c r="F1205" i="1"/>
  <c r="G1205" i="1"/>
  <c r="H1205" i="1"/>
  <c r="I1205" i="1"/>
  <c r="J1205" i="1"/>
  <c r="K1205" i="1"/>
  <c r="L1205" i="1"/>
  <c r="M1205" i="1"/>
  <c r="N1205" i="1"/>
  <c r="O1205" i="1"/>
  <c r="P1205" i="1"/>
  <c r="Q1205" i="1"/>
  <c r="A1206" i="1"/>
  <c r="B1206" i="1"/>
  <c r="C1206" i="1"/>
  <c r="D1206" i="1"/>
  <c r="E1206" i="1"/>
  <c r="F1206" i="1"/>
  <c r="G1206" i="1"/>
  <c r="H1206" i="1"/>
  <c r="I1206" i="1"/>
  <c r="J1206" i="1"/>
  <c r="K1206" i="1"/>
  <c r="L1206" i="1"/>
  <c r="M1206" i="1"/>
  <c r="N1206" i="1"/>
  <c r="O1206" i="1"/>
  <c r="P1206" i="1"/>
  <c r="Q1206" i="1"/>
  <c r="A1207" i="1"/>
  <c r="B1207" i="1"/>
  <c r="C1207" i="1"/>
  <c r="D1207" i="1"/>
  <c r="E1207" i="1"/>
  <c r="F1207" i="1"/>
  <c r="G1207" i="1"/>
  <c r="H1207" i="1"/>
  <c r="I1207" i="1"/>
  <c r="J1207" i="1"/>
  <c r="K1207" i="1"/>
  <c r="L1207" i="1"/>
  <c r="M1207" i="1"/>
  <c r="N1207" i="1"/>
  <c r="O1207" i="1"/>
  <c r="P1207" i="1"/>
  <c r="Q1207" i="1"/>
  <c r="A1208" i="1"/>
  <c r="B1208" i="1"/>
  <c r="C1208" i="1"/>
  <c r="D1208" i="1"/>
  <c r="E1208" i="1"/>
  <c r="F1208" i="1"/>
  <c r="G1208" i="1"/>
  <c r="H1208" i="1"/>
  <c r="I1208" i="1"/>
  <c r="J1208" i="1"/>
  <c r="K1208" i="1"/>
  <c r="L1208" i="1"/>
  <c r="M1208" i="1"/>
  <c r="N1208" i="1"/>
  <c r="O1208" i="1"/>
  <c r="P1208" i="1"/>
  <c r="Q1208" i="1"/>
  <c r="A1209" i="1"/>
  <c r="B1209" i="1"/>
  <c r="C1209" i="1"/>
  <c r="D1209" i="1"/>
  <c r="E1209" i="1"/>
  <c r="F1209" i="1"/>
  <c r="G1209" i="1"/>
  <c r="H1209" i="1"/>
  <c r="I1209" i="1"/>
  <c r="J1209" i="1"/>
  <c r="K1209" i="1"/>
  <c r="L1209" i="1"/>
  <c r="M1209" i="1"/>
  <c r="N1209" i="1"/>
  <c r="O1209" i="1"/>
  <c r="P1209" i="1"/>
  <c r="Q1209" i="1"/>
  <c r="A1210" i="1"/>
  <c r="B1210" i="1"/>
  <c r="C1210" i="1"/>
  <c r="D1210" i="1"/>
  <c r="E1210" i="1"/>
  <c r="F1210" i="1"/>
  <c r="G1210" i="1"/>
  <c r="H1210" i="1"/>
  <c r="I1210" i="1"/>
  <c r="J1210" i="1"/>
  <c r="K1210" i="1"/>
  <c r="L1210" i="1"/>
  <c r="M1210" i="1"/>
  <c r="N1210" i="1"/>
  <c r="O1210" i="1"/>
  <c r="P1210" i="1"/>
  <c r="Q1210" i="1"/>
  <c r="A1211" i="1"/>
  <c r="B1211" i="1"/>
  <c r="C1211" i="1"/>
  <c r="D1211" i="1"/>
  <c r="E1211" i="1"/>
  <c r="F1211" i="1"/>
  <c r="G1211" i="1"/>
  <c r="H1211" i="1"/>
  <c r="I1211" i="1"/>
  <c r="J1211" i="1"/>
  <c r="K1211" i="1"/>
  <c r="L1211" i="1"/>
  <c r="M1211" i="1"/>
  <c r="N1211" i="1"/>
  <c r="O1211" i="1"/>
  <c r="P1211" i="1"/>
  <c r="Q1211" i="1"/>
  <c r="A1212" i="1"/>
  <c r="B1212" i="1"/>
  <c r="C1212" i="1"/>
  <c r="D1212" i="1"/>
  <c r="E1212" i="1"/>
  <c r="F1212" i="1"/>
  <c r="G1212" i="1"/>
  <c r="H1212" i="1"/>
  <c r="I1212" i="1"/>
  <c r="J1212" i="1"/>
  <c r="K1212" i="1"/>
  <c r="L1212" i="1"/>
  <c r="M1212" i="1"/>
  <c r="N1212" i="1"/>
  <c r="O1212" i="1"/>
  <c r="P1212" i="1"/>
  <c r="Q1212" i="1"/>
  <c r="A1213" i="1"/>
  <c r="B1213" i="1"/>
  <c r="C1213" i="1"/>
  <c r="D1213" i="1"/>
  <c r="E1213" i="1"/>
  <c r="F1213" i="1"/>
  <c r="G1213" i="1"/>
  <c r="H1213" i="1"/>
  <c r="I1213" i="1"/>
  <c r="J1213" i="1"/>
  <c r="K1213" i="1"/>
  <c r="L1213" i="1"/>
  <c r="M1213" i="1"/>
  <c r="N1213" i="1"/>
  <c r="O1213" i="1"/>
  <c r="P1213" i="1"/>
  <c r="Q1213" i="1"/>
  <c r="A1214" i="1"/>
  <c r="B1214" i="1"/>
  <c r="C1214" i="1"/>
  <c r="D1214" i="1"/>
  <c r="E1214" i="1"/>
  <c r="F1214" i="1"/>
  <c r="G1214" i="1"/>
  <c r="H1214" i="1"/>
  <c r="I1214" i="1"/>
  <c r="J1214" i="1"/>
  <c r="K1214" i="1"/>
  <c r="L1214" i="1"/>
  <c r="M1214" i="1"/>
  <c r="N1214" i="1"/>
  <c r="O1214" i="1"/>
  <c r="P1214" i="1"/>
  <c r="Q1214" i="1"/>
  <c r="A1215" i="1"/>
  <c r="B1215" i="1"/>
  <c r="C1215" i="1"/>
  <c r="D1215" i="1"/>
  <c r="E1215" i="1"/>
  <c r="F1215" i="1"/>
  <c r="G1215" i="1"/>
  <c r="H1215" i="1"/>
  <c r="I1215" i="1"/>
  <c r="J1215" i="1"/>
  <c r="K1215" i="1"/>
  <c r="L1215" i="1"/>
  <c r="M1215" i="1"/>
  <c r="N1215" i="1"/>
  <c r="O1215" i="1"/>
  <c r="P1215" i="1"/>
  <c r="Q1215" i="1"/>
  <c r="A1216" i="1"/>
  <c r="B1216" i="1"/>
  <c r="C1216" i="1"/>
  <c r="D1216" i="1"/>
  <c r="E1216" i="1"/>
  <c r="F1216" i="1"/>
  <c r="G1216" i="1"/>
  <c r="H1216" i="1"/>
  <c r="I1216" i="1"/>
  <c r="J1216" i="1"/>
  <c r="K1216" i="1"/>
  <c r="L1216" i="1"/>
  <c r="M1216" i="1"/>
  <c r="N1216" i="1"/>
  <c r="O1216" i="1"/>
  <c r="P1216" i="1"/>
  <c r="Q1216" i="1"/>
  <c r="A1217" i="1"/>
  <c r="B1217" i="1"/>
  <c r="C1217" i="1"/>
  <c r="E1217" i="1"/>
  <c r="F1217" i="1"/>
  <c r="G1217" i="1"/>
  <c r="H1217" i="1"/>
  <c r="I1217" i="1"/>
  <c r="J1217" i="1"/>
  <c r="K1217" i="1"/>
  <c r="L1217" i="1"/>
  <c r="M1217" i="1"/>
  <c r="N1217" i="1"/>
  <c r="O1217" i="1"/>
  <c r="P1217" i="1"/>
  <c r="Q1217" i="1"/>
  <c r="A1218" i="1"/>
  <c r="B1218" i="1"/>
  <c r="C1218" i="1"/>
  <c r="E1218" i="1"/>
  <c r="F1218" i="1"/>
  <c r="G1218" i="1"/>
  <c r="H1218" i="1"/>
  <c r="I1218" i="1"/>
  <c r="J1218" i="1"/>
  <c r="K1218" i="1"/>
  <c r="L1218" i="1"/>
  <c r="M1218" i="1"/>
  <c r="N1218" i="1"/>
  <c r="O1218" i="1"/>
  <c r="P1218" i="1"/>
  <c r="Q1218" i="1"/>
  <c r="A1219" i="1"/>
  <c r="B1219" i="1"/>
  <c r="C1219" i="1"/>
  <c r="E1219" i="1"/>
  <c r="F1219" i="1"/>
  <c r="G1219" i="1"/>
  <c r="H1219" i="1"/>
  <c r="I1219" i="1"/>
  <c r="J1219" i="1"/>
  <c r="K1219" i="1"/>
  <c r="L1219" i="1"/>
  <c r="M1219" i="1"/>
  <c r="N1219" i="1"/>
  <c r="O1219" i="1"/>
  <c r="P1219" i="1"/>
  <c r="Q1219" i="1"/>
  <c r="A1220" i="1"/>
  <c r="B1220" i="1"/>
  <c r="C1220" i="1"/>
  <c r="D1220" i="1"/>
  <c r="E1220" i="1"/>
  <c r="F1220" i="1"/>
  <c r="G1220" i="1"/>
  <c r="H1220" i="1"/>
  <c r="I1220" i="1"/>
  <c r="J1220" i="1"/>
  <c r="K1220" i="1"/>
  <c r="L1220" i="1"/>
  <c r="M1220" i="1"/>
  <c r="N1220" i="1"/>
  <c r="O1220" i="1"/>
  <c r="P1220" i="1"/>
  <c r="Q1220" i="1"/>
  <c r="A1221" i="1"/>
  <c r="B1221" i="1"/>
  <c r="C1221" i="1"/>
  <c r="D1221" i="1"/>
  <c r="E1221" i="1"/>
  <c r="F1221" i="1"/>
  <c r="G1221" i="1"/>
  <c r="H1221" i="1"/>
  <c r="I1221" i="1"/>
  <c r="J1221" i="1"/>
  <c r="K1221" i="1"/>
  <c r="L1221" i="1"/>
  <c r="M1221" i="1"/>
  <c r="N1221" i="1"/>
  <c r="O1221" i="1"/>
  <c r="P1221" i="1"/>
  <c r="Q1221" i="1"/>
  <c r="A1222" i="1"/>
  <c r="B1222" i="1"/>
  <c r="C1222" i="1"/>
  <c r="D1222" i="1"/>
  <c r="E1222" i="1"/>
  <c r="F1222" i="1"/>
  <c r="G1222" i="1"/>
  <c r="H1222" i="1"/>
  <c r="I1222" i="1"/>
  <c r="J1222" i="1"/>
  <c r="K1222" i="1"/>
  <c r="L1222" i="1"/>
  <c r="M1222" i="1"/>
  <c r="N1222" i="1"/>
  <c r="O1222" i="1"/>
  <c r="P1222" i="1"/>
  <c r="Q1222" i="1"/>
  <c r="A1223" i="1"/>
  <c r="B1223" i="1"/>
  <c r="C1223" i="1"/>
  <c r="E1223" i="1"/>
  <c r="F1223" i="1"/>
  <c r="G1223" i="1"/>
  <c r="H1223" i="1"/>
  <c r="I1223" i="1"/>
  <c r="J1223" i="1"/>
  <c r="K1223" i="1"/>
  <c r="L1223" i="1"/>
  <c r="M1223" i="1"/>
  <c r="N1223" i="1"/>
  <c r="O1223" i="1"/>
  <c r="P1223" i="1"/>
  <c r="Q1223" i="1"/>
  <c r="A1224" i="1"/>
  <c r="B1224" i="1"/>
  <c r="C1224" i="1"/>
  <c r="D1224" i="1"/>
  <c r="E1224" i="1"/>
  <c r="F1224" i="1"/>
  <c r="G1224" i="1"/>
  <c r="H1224" i="1"/>
  <c r="I1224" i="1"/>
  <c r="J1224" i="1"/>
  <c r="K1224" i="1"/>
  <c r="L1224" i="1"/>
  <c r="M1224" i="1"/>
  <c r="N1224" i="1"/>
  <c r="O1224" i="1"/>
  <c r="P1224" i="1"/>
  <c r="Q1224" i="1"/>
  <c r="A1225" i="1"/>
  <c r="B1225" i="1"/>
  <c r="C1225" i="1"/>
  <c r="D1225" i="1"/>
  <c r="E1225" i="1"/>
  <c r="F1225" i="1"/>
  <c r="G1225" i="1"/>
  <c r="H1225" i="1"/>
  <c r="I1225" i="1"/>
  <c r="J1225" i="1"/>
  <c r="K1225" i="1"/>
  <c r="L1225" i="1"/>
  <c r="M1225" i="1"/>
  <c r="N1225" i="1"/>
  <c r="O1225" i="1"/>
  <c r="P1225" i="1"/>
  <c r="Q1225" i="1"/>
  <c r="A1226" i="1"/>
  <c r="B1226" i="1"/>
  <c r="C1226" i="1"/>
  <c r="D1226" i="1"/>
  <c r="E1226" i="1"/>
  <c r="F1226" i="1"/>
  <c r="G1226" i="1"/>
  <c r="H1226" i="1"/>
  <c r="I1226" i="1"/>
  <c r="J1226" i="1"/>
  <c r="K1226" i="1"/>
  <c r="L1226" i="1"/>
  <c r="M1226" i="1"/>
  <c r="N1226" i="1"/>
  <c r="O1226" i="1"/>
  <c r="P1226" i="1"/>
  <c r="Q1226" i="1"/>
  <c r="A1227" i="1"/>
  <c r="B1227" i="1"/>
  <c r="C1227" i="1"/>
  <c r="D1227" i="1"/>
  <c r="E1227" i="1"/>
  <c r="F1227" i="1"/>
  <c r="G1227" i="1"/>
  <c r="H1227" i="1"/>
  <c r="I1227" i="1"/>
  <c r="J1227" i="1"/>
  <c r="K1227" i="1"/>
  <c r="L1227" i="1"/>
  <c r="M1227" i="1"/>
  <c r="N1227" i="1"/>
  <c r="O1227" i="1"/>
  <c r="P1227" i="1"/>
  <c r="Q1227" i="1"/>
  <c r="A1228" i="1"/>
  <c r="B1228" i="1"/>
  <c r="C1228" i="1"/>
  <c r="D1228" i="1"/>
  <c r="E1228" i="1"/>
  <c r="F1228" i="1"/>
  <c r="G1228" i="1"/>
  <c r="H1228" i="1"/>
  <c r="I1228" i="1"/>
  <c r="J1228" i="1"/>
  <c r="K1228" i="1"/>
  <c r="L1228" i="1"/>
  <c r="M1228" i="1"/>
  <c r="N1228" i="1"/>
  <c r="O1228" i="1"/>
  <c r="P1228" i="1"/>
  <c r="Q1228" i="1"/>
  <c r="A1229" i="1"/>
  <c r="B1229" i="1"/>
  <c r="C1229" i="1"/>
  <c r="D1229" i="1"/>
  <c r="E1229" i="1"/>
  <c r="F1229" i="1"/>
  <c r="G1229" i="1"/>
  <c r="H1229" i="1"/>
  <c r="I1229" i="1"/>
  <c r="J1229" i="1"/>
  <c r="K1229" i="1"/>
  <c r="L1229" i="1"/>
  <c r="M1229" i="1"/>
  <c r="N1229" i="1"/>
  <c r="O1229" i="1"/>
  <c r="P1229" i="1"/>
  <c r="Q1229" i="1"/>
  <c r="A1230" i="1"/>
  <c r="B1230" i="1"/>
  <c r="C1230" i="1"/>
  <c r="D1230" i="1"/>
  <c r="E1230" i="1"/>
  <c r="F1230" i="1"/>
  <c r="G1230" i="1"/>
  <c r="H1230" i="1"/>
  <c r="I1230" i="1"/>
  <c r="J1230" i="1"/>
  <c r="K1230" i="1"/>
  <c r="L1230" i="1"/>
  <c r="M1230" i="1"/>
  <c r="N1230" i="1"/>
  <c r="O1230" i="1"/>
  <c r="P1230" i="1"/>
  <c r="Q1230" i="1"/>
  <c r="A1231" i="1"/>
  <c r="B1231" i="1"/>
  <c r="C1231" i="1"/>
  <c r="D1231" i="1"/>
  <c r="E1231" i="1"/>
  <c r="F1231" i="1"/>
  <c r="G1231" i="1"/>
  <c r="H1231" i="1"/>
  <c r="I1231" i="1"/>
  <c r="J1231" i="1"/>
  <c r="K1231" i="1"/>
  <c r="L1231" i="1"/>
  <c r="M1231" i="1"/>
  <c r="N1231" i="1"/>
  <c r="O1231" i="1"/>
  <c r="P1231" i="1"/>
  <c r="Q1231" i="1"/>
  <c r="A1232" i="1"/>
  <c r="B1232" i="1"/>
  <c r="C1232" i="1"/>
  <c r="D1232" i="1"/>
  <c r="E1232" i="1"/>
  <c r="F1232" i="1"/>
  <c r="G1232" i="1"/>
  <c r="H1232" i="1"/>
  <c r="I1232" i="1"/>
  <c r="J1232" i="1"/>
  <c r="K1232" i="1"/>
  <c r="L1232" i="1"/>
  <c r="M1232" i="1"/>
  <c r="N1232" i="1"/>
  <c r="O1232" i="1"/>
  <c r="P1232" i="1"/>
  <c r="Q1232" i="1"/>
  <c r="A1233" i="1"/>
  <c r="B1233" i="1"/>
  <c r="C1233" i="1"/>
  <c r="D1233" i="1"/>
  <c r="E1233" i="1"/>
  <c r="F1233" i="1"/>
  <c r="G1233" i="1"/>
  <c r="H1233" i="1"/>
  <c r="I1233" i="1"/>
  <c r="J1233" i="1"/>
  <c r="K1233" i="1"/>
  <c r="L1233" i="1"/>
  <c r="M1233" i="1"/>
  <c r="N1233" i="1"/>
  <c r="O1233" i="1"/>
  <c r="P1233" i="1"/>
  <c r="Q1233" i="1"/>
  <c r="A1234" i="1"/>
  <c r="B1234" i="1"/>
  <c r="C1234" i="1"/>
  <c r="D1234" i="1"/>
  <c r="E1234" i="1"/>
  <c r="F1234" i="1"/>
  <c r="G1234" i="1"/>
  <c r="H1234" i="1"/>
  <c r="I1234" i="1"/>
  <c r="J1234" i="1"/>
  <c r="K1234" i="1"/>
  <c r="L1234" i="1"/>
  <c r="M1234" i="1"/>
  <c r="N1234" i="1"/>
  <c r="O1234" i="1"/>
  <c r="P1234" i="1"/>
  <c r="Q1234" i="1"/>
  <c r="A1235" i="1"/>
  <c r="B1235" i="1"/>
  <c r="C1235" i="1"/>
  <c r="D1235" i="1"/>
  <c r="E1235" i="1"/>
  <c r="F1235" i="1"/>
  <c r="G1235" i="1"/>
  <c r="H1235" i="1"/>
  <c r="I1235" i="1"/>
  <c r="J1235" i="1"/>
  <c r="K1235" i="1"/>
  <c r="L1235" i="1"/>
  <c r="M1235" i="1"/>
  <c r="N1235" i="1"/>
  <c r="O1235" i="1"/>
  <c r="P1235" i="1"/>
  <c r="Q1235" i="1"/>
  <c r="A1236" i="1"/>
  <c r="B1236" i="1"/>
  <c r="C1236" i="1"/>
  <c r="D1236" i="1"/>
  <c r="E1236" i="1"/>
  <c r="F1236" i="1"/>
  <c r="G1236" i="1"/>
  <c r="H1236" i="1"/>
  <c r="I1236" i="1"/>
  <c r="J1236" i="1"/>
  <c r="K1236" i="1"/>
  <c r="L1236" i="1"/>
  <c r="M1236" i="1"/>
  <c r="N1236" i="1"/>
  <c r="O1236" i="1"/>
  <c r="P1236" i="1"/>
  <c r="Q1236" i="1"/>
  <c r="A1237" i="1"/>
  <c r="B1237" i="1"/>
  <c r="C1237" i="1"/>
  <c r="D1237" i="1"/>
  <c r="E1237" i="1"/>
  <c r="F1237" i="1"/>
  <c r="G1237" i="1"/>
  <c r="H1237" i="1"/>
  <c r="I1237" i="1"/>
  <c r="J1237" i="1"/>
  <c r="K1237" i="1"/>
  <c r="L1237" i="1"/>
  <c r="M1237" i="1"/>
  <c r="N1237" i="1"/>
  <c r="O1237" i="1"/>
  <c r="P1237" i="1"/>
  <c r="Q1237" i="1"/>
  <c r="A1238" i="1"/>
  <c r="B1238" i="1"/>
  <c r="C1238" i="1"/>
  <c r="D1238" i="1"/>
  <c r="E1238" i="1"/>
  <c r="F1238" i="1"/>
  <c r="G1238" i="1"/>
  <c r="H1238" i="1"/>
  <c r="I1238" i="1"/>
  <c r="J1238" i="1"/>
  <c r="K1238" i="1"/>
  <c r="L1238" i="1"/>
  <c r="M1238" i="1"/>
  <c r="N1238" i="1"/>
  <c r="O1238" i="1"/>
  <c r="P1238" i="1"/>
  <c r="Q1238" i="1"/>
  <c r="A1239" i="1"/>
  <c r="B1239" i="1"/>
  <c r="C1239" i="1"/>
  <c r="D1239" i="1"/>
  <c r="E1239" i="1"/>
  <c r="F1239" i="1"/>
  <c r="G1239" i="1"/>
  <c r="H1239" i="1"/>
  <c r="I1239" i="1"/>
  <c r="J1239" i="1"/>
  <c r="K1239" i="1"/>
  <c r="L1239" i="1"/>
  <c r="M1239" i="1"/>
  <c r="N1239" i="1"/>
  <c r="O1239" i="1"/>
  <c r="P1239" i="1"/>
  <c r="Q1239" i="1"/>
  <c r="A1240" i="1"/>
  <c r="B1240" i="1"/>
  <c r="C1240" i="1"/>
  <c r="D1240" i="1"/>
  <c r="E1240" i="1"/>
  <c r="F1240" i="1"/>
  <c r="G1240" i="1"/>
  <c r="H1240" i="1"/>
  <c r="I1240" i="1"/>
  <c r="J1240" i="1"/>
  <c r="K1240" i="1"/>
  <c r="L1240" i="1"/>
  <c r="M1240" i="1"/>
  <c r="N1240" i="1"/>
  <c r="O1240" i="1"/>
  <c r="P1240" i="1"/>
  <c r="Q1240" i="1"/>
  <c r="A1241" i="1"/>
  <c r="B1241" i="1"/>
  <c r="C1241" i="1"/>
  <c r="D1241" i="1"/>
  <c r="E1241" i="1"/>
  <c r="F1241" i="1"/>
  <c r="G1241" i="1"/>
  <c r="H1241" i="1"/>
  <c r="I1241" i="1"/>
  <c r="J1241" i="1"/>
  <c r="K1241" i="1"/>
  <c r="L1241" i="1"/>
  <c r="M1241" i="1"/>
  <c r="N1241" i="1"/>
  <c r="O1241" i="1"/>
  <c r="P1241" i="1"/>
  <c r="Q1241" i="1"/>
  <c r="A1242" i="1"/>
  <c r="B1242" i="1"/>
  <c r="C1242" i="1"/>
  <c r="D1242" i="1"/>
  <c r="E1242" i="1"/>
  <c r="F1242" i="1"/>
  <c r="G1242" i="1"/>
  <c r="H1242" i="1"/>
  <c r="I1242" i="1"/>
  <c r="J1242" i="1"/>
  <c r="K1242" i="1"/>
  <c r="L1242" i="1"/>
  <c r="M1242" i="1"/>
  <c r="N1242" i="1"/>
  <c r="O1242" i="1"/>
  <c r="P1242" i="1"/>
  <c r="Q1242" i="1"/>
  <c r="A1243" i="1"/>
  <c r="B1243" i="1"/>
  <c r="C1243" i="1"/>
  <c r="D1243" i="1"/>
  <c r="E1243" i="1"/>
  <c r="F1243" i="1"/>
  <c r="G1243" i="1"/>
  <c r="H1243" i="1"/>
  <c r="I1243" i="1"/>
  <c r="J1243" i="1"/>
  <c r="K1243" i="1"/>
  <c r="L1243" i="1"/>
  <c r="M1243" i="1"/>
  <c r="N1243" i="1"/>
  <c r="O1243" i="1"/>
  <c r="P1243" i="1"/>
  <c r="Q1243" i="1"/>
  <c r="A1244" i="1"/>
  <c r="B1244" i="1"/>
  <c r="C1244" i="1"/>
  <c r="D1244" i="1"/>
  <c r="E1244" i="1"/>
  <c r="F1244" i="1"/>
  <c r="G1244" i="1"/>
  <c r="H1244" i="1"/>
  <c r="I1244" i="1"/>
  <c r="J1244" i="1"/>
  <c r="K1244" i="1"/>
  <c r="L1244" i="1"/>
  <c r="M1244" i="1"/>
  <c r="N1244" i="1"/>
  <c r="O1244" i="1"/>
  <c r="P1244" i="1"/>
  <c r="Q1244" i="1"/>
  <c r="A1245" i="1"/>
  <c r="B1245" i="1"/>
  <c r="C1245" i="1"/>
  <c r="E1245" i="1"/>
  <c r="F1245" i="1"/>
  <c r="G1245" i="1"/>
  <c r="H1245" i="1"/>
  <c r="I1245" i="1"/>
  <c r="J1245" i="1"/>
  <c r="K1245" i="1"/>
  <c r="L1245" i="1"/>
  <c r="M1245" i="1"/>
  <c r="N1245" i="1"/>
  <c r="O1245" i="1"/>
  <c r="P1245" i="1"/>
  <c r="Q1245" i="1"/>
  <c r="A1246" i="1"/>
  <c r="B1246" i="1"/>
  <c r="C1246" i="1"/>
  <c r="E1246" i="1"/>
  <c r="F1246" i="1"/>
  <c r="G1246" i="1"/>
  <c r="H1246" i="1"/>
  <c r="I1246" i="1"/>
  <c r="J1246" i="1"/>
  <c r="K1246" i="1"/>
  <c r="L1246" i="1"/>
  <c r="M1246" i="1"/>
  <c r="N1246" i="1"/>
  <c r="O1246" i="1"/>
  <c r="P1246" i="1"/>
  <c r="Q1246" i="1"/>
  <c r="A1247" i="1"/>
  <c r="B1247" i="1"/>
  <c r="C1247" i="1"/>
  <c r="D1247" i="1"/>
  <c r="E1247" i="1"/>
  <c r="F1247" i="1"/>
  <c r="G1247" i="1"/>
  <c r="H1247" i="1"/>
  <c r="I1247" i="1"/>
  <c r="J1247" i="1"/>
  <c r="K1247" i="1"/>
  <c r="L1247" i="1"/>
  <c r="M1247" i="1"/>
  <c r="N1247" i="1"/>
  <c r="O1247" i="1"/>
  <c r="P1247" i="1"/>
  <c r="Q1247" i="1"/>
  <c r="A1248" i="1"/>
  <c r="B1248" i="1"/>
  <c r="C1248" i="1"/>
  <c r="D1248" i="1"/>
  <c r="E1248" i="1"/>
  <c r="F1248" i="1"/>
  <c r="G1248" i="1"/>
  <c r="H1248" i="1"/>
  <c r="I1248" i="1"/>
  <c r="J1248" i="1"/>
  <c r="K1248" i="1"/>
  <c r="L1248" i="1"/>
  <c r="M1248" i="1"/>
  <c r="N1248" i="1"/>
  <c r="O1248" i="1"/>
  <c r="P1248" i="1"/>
  <c r="Q1248" i="1"/>
  <c r="A1249" i="1"/>
  <c r="B1249" i="1"/>
  <c r="C1249" i="1"/>
  <c r="D1249" i="1"/>
  <c r="E1249" i="1"/>
  <c r="F1249" i="1"/>
  <c r="G1249" i="1"/>
  <c r="H1249" i="1"/>
  <c r="I1249" i="1"/>
  <c r="J1249" i="1"/>
  <c r="K1249" i="1"/>
  <c r="L1249" i="1"/>
  <c r="M1249" i="1"/>
  <c r="N1249" i="1"/>
  <c r="O1249" i="1"/>
  <c r="P1249" i="1"/>
  <c r="Q1249" i="1"/>
  <c r="A1250" i="1"/>
  <c r="B1250" i="1"/>
  <c r="C1250" i="1"/>
  <c r="E1250" i="1"/>
  <c r="F1250" i="1"/>
  <c r="G1250" i="1"/>
  <c r="H1250" i="1"/>
  <c r="I1250" i="1"/>
  <c r="J1250" i="1"/>
  <c r="K1250" i="1"/>
  <c r="L1250" i="1"/>
  <c r="M1250" i="1"/>
  <c r="N1250" i="1"/>
  <c r="O1250" i="1"/>
  <c r="P1250" i="1"/>
  <c r="Q1250" i="1"/>
  <c r="A1251" i="1"/>
  <c r="B1251" i="1"/>
  <c r="C1251" i="1"/>
  <c r="E1251" i="1"/>
  <c r="F1251" i="1"/>
  <c r="G1251" i="1"/>
  <c r="H1251" i="1"/>
  <c r="I1251" i="1"/>
  <c r="J1251" i="1"/>
  <c r="K1251" i="1"/>
  <c r="L1251" i="1"/>
  <c r="M1251" i="1"/>
  <c r="N1251" i="1"/>
  <c r="O1251" i="1"/>
  <c r="P1251" i="1"/>
  <c r="Q1251" i="1"/>
  <c r="A1252" i="1"/>
  <c r="B1252" i="1"/>
  <c r="C1252" i="1"/>
  <c r="D1252" i="1"/>
  <c r="E1252" i="1"/>
  <c r="F1252" i="1"/>
  <c r="G1252" i="1"/>
  <c r="H1252" i="1"/>
  <c r="I1252" i="1"/>
  <c r="J1252" i="1"/>
  <c r="K1252" i="1"/>
  <c r="L1252" i="1"/>
  <c r="M1252" i="1"/>
  <c r="N1252" i="1"/>
  <c r="O1252" i="1"/>
  <c r="P1252" i="1"/>
  <c r="Q1252" i="1"/>
  <c r="A1253" i="1"/>
  <c r="B1253" i="1"/>
  <c r="C1253" i="1"/>
  <c r="D1253" i="1"/>
  <c r="E1253" i="1"/>
  <c r="F1253" i="1"/>
  <c r="G1253" i="1"/>
  <c r="H1253" i="1"/>
  <c r="I1253" i="1"/>
  <c r="J1253" i="1"/>
  <c r="K1253" i="1"/>
  <c r="L1253" i="1"/>
  <c r="M1253" i="1"/>
  <c r="N1253" i="1"/>
  <c r="O1253" i="1"/>
  <c r="P1253" i="1"/>
  <c r="Q1253" i="1"/>
  <c r="A1254" i="1"/>
  <c r="B1254" i="1"/>
  <c r="C1254" i="1"/>
  <c r="D1254" i="1"/>
  <c r="E1254" i="1"/>
  <c r="F1254" i="1"/>
  <c r="G1254" i="1"/>
  <c r="H1254" i="1"/>
  <c r="I1254" i="1"/>
  <c r="J1254" i="1"/>
  <c r="K1254" i="1"/>
  <c r="L1254" i="1"/>
  <c r="M1254" i="1"/>
  <c r="N1254" i="1"/>
  <c r="O1254" i="1"/>
  <c r="P1254" i="1"/>
  <c r="Q1254" i="1"/>
  <c r="A1255" i="1"/>
  <c r="B1255" i="1"/>
  <c r="C1255" i="1"/>
  <c r="E1255" i="1"/>
  <c r="F1255" i="1"/>
  <c r="G1255" i="1"/>
  <c r="H1255" i="1"/>
  <c r="I1255" i="1"/>
  <c r="J1255" i="1"/>
  <c r="K1255" i="1"/>
  <c r="L1255" i="1"/>
  <c r="M1255" i="1"/>
  <c r="N1255" i="1"/>
  <c r="O1255" i="1"/>
  <c r="P1255" i="1"/>
  <c r="Q1255" i="1"/>
  <c r="A1256" i="1"/>
  <c r="B1256" i="1"/>
  <c r="C1256" i="1"/>
  <c r="D1256" i="1"/>
  <c r="E1256" i="1"/>
  <c r="F1256" i="1"/>
  <c r="G1256" i="1"/>
  <c r="H1256" i="1"/>
  <c r="I1256" i="1"/>
  <c r="J1256" i="1"/>
  <c r="K1256" i="1"/>
  <c r="L1256" i="1"/>
  <c r="M1256" i="1"/>
  <c r="N1256" i="1"/>
  <c r="O1256" i="1"/>
  <c r="P1256" i="1"/>
  <c r="Q1256" i="1"/>
  <c r="A1257" i="1"/>
  <c r="B1257" i="1"/>
  <c r="C1257" i="1"/>
  <c r="D1257" i="1"/>
  <c r="E1257" i="1"/>
  <c r="F1257" i="1"/>
  <c r="G1257" i="1"/>
  <c r="H1257" i="1"/>
  <c r="I1257" i="1"/>
  <c r="J1257" i="1"/>
  <c r="K1257" i="1"/>
  <c r="L1257" i="1"/>
  <c r="M1257" i="1"/>
  <c r="N1257" i="1"/>
  <c r="O1257" i="1"/>
  <c r="P1257" i="1"/>
  <c r="Q1257" i="1"/>
  <c r="A1258" i="1"/>
  <c r="B1258" i="1"/>
  <c r="C1258" i="1"/>
  <c r="D1258" i="1"/>
  <c r="E1258" i="1"/>
  <c r="F1258" i="1"/>
  <c r="G1258" i="1"/>
  <c r="H1258" i="1"/>
  <c r="I1258" i="1"/>
  <c r="J1258" i="1"/>
  <c r="K1258" i="1"/>
  <c r="L1258" i="1"/>
  <c r="M1258" i="1"/>
  <c r="N1258" i="1"/>
  <c r="O1258" i="1"/>
  <c r="P1258" i="1"/>
  <c r="Q1258" i="1"/>
  <c r="A1259" i="1"/>
  <c r="B1259" i="1"/>
  <c r="C1259" i="1"/>
  <c r="D1259" i="1"/>
  <c r="E1259" i="1"/>
  <c r="F1259" i="1"/>
  <c r="G1259" i="1"/>
  <c r="H1259" i="1"/>
  <c r="I1259" i="1"/>
  <c r="J1259" i="1"/>
  <c r="K1259" i="1"/>
  <c r="L1259" i="1"/>
  <c r="M1259" i="1"/>
  <c r="N1259" i="1"/>
  <c r="O1259" i="1"/>
  <c r="P1259" i="1"/>
  <c r="Q1259" i="1"/>
  <c r="A1260" i="1"/>
  <c r="B1260" i="1"/>
  <c r="C1260" i="1"/>
  <c r="E1260" i="1"/>
  <c r="F1260" i="1"/>
  <c r="G1260" i="1"/>
  <c r="H1260" i="1"/>
  <c r="I1260" i="1"/>
  <c r="J1260" i="1"/>
  <c r="K1260" i="1"/>
  <c r="L1260" i="1"/>
  <c r="M1260" i="1"/>
  <c r="N1260" i="1"/>
  <c r="O1260" i="1"/>
  <c r="P1260" i="1"/>
  <c r="Q1260" i="1"/>
  <c r="A1261" i="1"/>
  <c r="B1261" i="1"/>
  <c r="C1261" i="1"/>
  <c r="D1261" i="1"/>
  <c r="E1261" i="1"/>
  <c r="F1261" i="1"/>
  <c r="G1261" i="1"/>
  <c r="H1261" i="1"/>
  <c r="I1261" i="1"/>
  <c r="J1261" i="1"/>
  <c r="K1261" i="1"/>
  <c r="L1261" i="1"/>
  <c r="M1261" i="1"/>
  <c r="N1261" i="1"/>
  <c r="O1261" i="1"/>
  <c r="P1261" i="1"/>
  <c r="Q1261" i="1"/>
  <c r="A1262" i="1"/>
  <c r="B1262" i="1"/>
  <c r="C1262" i="1"/>
  <c r="D1262" i="1"/>
  <c r="E1262" i="1"/>
  <c r="F1262" i="1"/>
  <c r="G1262" i="1"/>
  <c r="H1262" i="1"/>
  <c r="I1262" i="1"/>
  <c r="J1262" i="1"/>
  <c r="K1262" i="1"/>
  <c r="L1262" i="1"/>
  <c r="M1262" i="1"/>
  <c r="N1262" i="1"/>
  <c r="O1262" i="1"/>
  <c r="P1262" i="1"/>
  <c r="Q1262" i="1"/>
  <c r="A1263" i="1"/>
  <c r="B1263" i="1"/>
  <c r="C1263" i="1"/>
  <c r="D1263" i="1"/>
  <c r="E1263" i="1"/>
  <c r="F1263" i="1"/>
  <c r="G1263" i="1"/>
  <c r="H1263" i="1"/>
  <c r="I1263" i="1"/>
  <c r="J1263" i="1"/>
  <c r="K1263" i="1"/>
  <c r="L1263" i="1"/>
  <c r="M1263" i="1"/>
  <c r="N1263" i="1"/>
  <c r="O1263" i="1"/>
  <c r="P1263" i="1"/>
  <c r="Q1263" i="1"/>
  <c r="A1264" i="1"/>
  <c r="B1264" i="1"/>
  <c r="C1264" i="1"/>
  <c r="D1264" i="1"/>
  <c r="E1264" i="1"/>
  <c r="F1264" i="1"/>
  <c r="G1264" i="1"/>
  <c r="H1264" i="1"/>
  <c r="I1264" i="1"/>
  <c r="J1264" i="1"/>
  <c r="K1264" i="1"/>
  <c r="L1264" i="1"/>
  <c r="M1264" i="1"/>
  <c r="N1264" i="1"/>
  <c r="O1264" i="1"/>
  <c r="P1264" i="1"/>
  <c r="Q1264" i="1"/>
  <c r="A1265" i="1"/>
  <c r="B1265" i="1"/>
  <c r="C1265" i="1"/>
  <c r="D1265" i="1"/>
  <c r="E1265" i="1"/>
  <c r="F1265" i="1"/>
  <c r="G1265" i="1"/>
  <c r="H1265" i="1"/>
  <c r="I1265" i="1"/>
  <c r="J1265" i="1"/>
  <c r="K1265" i="1"/>
  <c r="L1265" i="1"/>
  <c r="M1265" i="1"/>
  <c r="N1265" i="1"/>
  <c r="O1265" i="1"/>
  <c r="P1265" i="1"/>
  <c r="Q1265" i="1"/>
  <c r="A1266" i="1"/>
  <c r="B1266" i="1"/>
  <c r="C1266" i="1"/>
  <c r="D1266" i="1"/>
  <c r="E1266" i="1"/>
  <c r="F1266" i="1"/>
  <c r="G1266" i="1"/>
  <c r="H1266" i="1"/>
  <c r="I1266" i="1"/>
  <c r="J1266" i="1"/>
  <c r="K1266" i="1"/>
  <c r="L1266" i="1"/>
  <c r="M1266" i="1"/>
  <c r="N1266" i="1"/>
  <c r="O1266" i="1"/>
  <c r="P1266" i="1"/>
  <c r="Q1266" i="1"/>
  <c r="A1267" i="1"/>
  <c r="B1267" i="1"/>
  <c r="C1267" i="1"/>
  <c r="E1267" i="1"/>
  <c r="F1267" i="1"/>
  <c r="G1267" i="1"/>
  <c r="H1267" i="1"/>
  <c r="I1267" i="1"/>
  <c r="J1267" i="1"/>
  <c r="K1267" i="1"/>
  <c r="L1267" i="1"/>
  <c r="M1267" i="1"/>
  <c r="N1267" i="1"/>
  <c r="O1267" i="1"/>
  <c r="P1267" i="1"/>
  <c r="Q1267" i="1"/>
  <c r="A1268" i="1"/>
  <c r="B1268" i="1"/>
  <c r="C1268" i="1"/>
  <c r="E1268" i="1"/>
  <c r="F1268" i="1"/>
  <c r="G1268" i="1"/>
  <c r="H1268" i="1"/>
  <c r="I1268" i="1"/>
  <c r="J1268" i="1"/>
  <c r="K1268" i="1"/>
  <c r="L1268" i="1"/>
  <c r="M1268" i="1"/>
  <c r="N1268" i="1"/>
  <c r="O1268" i="1"/>
  <c r="P1268" i="1"/>
  <c r="Q1268" i="1"/>
  <c r="A1269" i="1"/>
  <c r="B1269" i="1"/>
  <c r="C1269" i="1"/>
  <c r="D1269" i="1"/>
  <c r="E1269" i="1"/>
  <c r="F1269" i="1"/>
  <c r="G1269" i="1"/>
  <c r="H1269" i="1"/>
  <c r="I1269" i="1"/>
  <c r="J1269" i="1"/>
  <c r="K1269" i="1"/>
  <c r="L1269" i="1"/>
  <c r="M1269" i="1"/>
  <c r="N1269" i="1"/>
  <c r="O1269" i="1"/>
  <c r="P1269" i="1"/>
  <c r="Q1269" i="1"/>
  <c r="A1270" i="1"/>
  <c r="B1270" i="1"/>
  <c r="C1270" i="1"/>
  <c r="E1270" i="1"/>
  <c r="F1270" i="1"/>
  <c r="G1270" i="1"/>
  <c r="H1270" i="1"/>
  <c r="I1270" i="1"/>
  <c r="J1270" i="1"/>
  <c r="K1270" i="1"/>
  <c r="L1270" i="1"/>
  <c r="M1270" i="1"/>
  <c r="N1270" i="1"/>
  <c r="O1270" i="1"/>
  <c r="P1270" i="1"/>
  <c r="Q1270" i="1"/>
  <c r="A1271" i="1"/>
  <c r="B1271" i="1"/>
  <c r="C1271" i="1"/>
  <c r="D1271" i="1"/>
  <c r="E1271" i="1"/>
  <c r="F1271" i="1"/>
  <c r="G1271" i="1"/>
  <c r="H1271" i="1"/>
  <c r="I1271" i="1"/>
  <c r="J1271" i="1"/>
  <c r="K1271" i="1"/>
  <c r="L1271" i="1"/>
  <c r="M1271" i="1"/>
  <c r="N1271" i="1"/>
  <c r="O1271" i="1"/>
  <c r="P1271" i="1"/>
  <c r="Q1271" i="1"/>
  <c r="A1272" i="1"/>
  <c r="B1272" i="1"/>
  <c r="C1272" i="1"/>
  <c r="D1272" i="1"/>
  <c r="E1272" i="1"/>
  <c r="F1272" i="1"/>
  <c r="G1272" i="1"/>
  <c r="H1272" i="1"/>
  <c r="I1272" i="1"/>
  <c r="J1272" i="1"/>
  <c r="K1272" i="1"/>
  <c r="L1272" i="1"/>
  <c r="M1272" i="1"/>
  <c r="N1272" i="1"/>
  <c r="O1272" i="1"/>
  <c r="P1272" i="1"/>
  <c r="Q1272" i="1"/>
  <c r="A1273" i="1"/>
  <c r="B1273" i="1"/>
  <c r="C1273" i="1"/>
  <c r="D1273" i="1"/>
  <c r="E1273" i="1"/>
  <c r="F1273" i="1"/>
  <c r="G1273" i="1"/>
  <c r="H1273" i="1"/>
  <c r="I1273" i="1"/>
  <c r="J1273" i="1"/>
  <c r="K1273" i="1"/>
  <c r="L1273" i="1"/>
  <c r="M1273" i="1"/>
  <c r="N1273" i="1"/>
  <c r="O1273" i="1"/>
  <c r="P1273" i="1"/>
  <c r="Q1273" i="1"/>
  <c r="A1274" i="1"/>
  <c r="B1274" i="1"/>
  <c r="C1274" i="1"/>
  <c r="D1274" i="1"/>
  <c r="E1274" i="1"/>
  <c r="F1274" i="1"/>
  <c r="G1274" i="1"/>
  <c r="H1274" i="1"/>
  <c r="I1274" i="1"/>
  <c r="J1274" i="1"/>
  <c r="K1274" i="1"/>
  <c r="L1274" i="1"/>
  <c r="M1274" i="1"/>
  <c r="N1274" i="1"/>
  <c r="O1274" i="1"/>
  <c r="P1274" i="1"/>
  <c r="Q1274" i="1"/>
  <c r="A1275" i="1"/>
  <c r="B1275" i="1"/>
  <c r="C1275" i="1"/>
  <c r="D1275" i="1"/>
  <c r="E1275" i="1"/>
  <c r="F1275" i="1"/>
  <c r="G1275" i="1"/>
  <c r="H1275" i="1"/>
  <c r="I1275" i="1"/>
  <c r="J1275" i="1"/>
  <c r="K1275" i="1"/>
  <c r="L1275" i="1"/>
  <c r="M1275" i="1"/>
  <c r="N1275" i="1"/>
  <c r="O1275" i="1"/>
  <c r="P1275" i="1"/>
  <c r="Q1275" i="1"/>
  <c r="A1276" i="1"/>
  <c r="B1276" i="1"/>
  <c r="C1276" i="1"/>
  <c r="E1276" i="1"/>
  <c r="F1276" i="1"/>
  <c r="G1276" i="1"/>
  <c r="H1276" i="1"/>
  <c r="I1276" i="1"/>
  <c r="J1276" i="1"/>
  <c r="K1276" i="1"/>
  <c r="L1276" i="1"/>
  <c r="M1276" i="1"/>
  <c r="N1276" i="1"/>
  <c r="O1276" i="1"/>
  <c r="P1276" i="1"/>
  <c r="Q1276" i="1"/>
  <c r="A1277" i="1"/>
  <c r="B1277" i="1"/>
  <c r="C1277" i="1"/>
  <c r="D1277" i="1"/>
  <c r="E1277" i="1"/>
  <c r="F1277" i="1"/>
  <c r="G1277" i="1"/>
  <c r="H1277" i="1"/>
  <c r="I1277" i="1"/>
  <c r="J1277" i="1"/>
  <c r="K1277" i="1"/>
  <c r="L1277" i="1"/>
  <c r="M1277" i="1"/>
  <c r="N1277" i="1"/>
  <c r="O1277" i="1"/>
  <c r="P1277" i="1"/>
  <c r="Q1277" i="1"/>
  <c r="A1278" i="1"/>
  <c r="B1278" i="1"/>
  <c r="C1278" i="1"/>
  <c r="D1278" i="1"/>
  <c r="E1278" i="1"/>
  <c r="F1278" i="1"/>
  <c r="G1278" i="1"/>
  <c r="H1278" i="1"/>
  <c r="I1278" i="1"/>
  <c r="J1278" i="1"/>
  <c r="K1278" i="1"/>
  <c r="L1278" i="1"/>
  <c r="M1278" i="1"/>
  <c r="N1278" i="1"/>
  <c r="O1278" i="1"/>
  <c r="P1278" i="1"/>
  <c r="Q1278" i="1"/>
  <c r="A1279" i="1"/>
  <c r="B1279" i="1"/>
  <c r="C1279" i="1"/>
  <c r="D1279" i="1"/>
  <c r="E1279" i="1"/>
  <c r="F1279" i="1"/>
  <c r="G1279" i="1"/>
  <c r="H1279" i="1"/>
  <c r="I1279" i="1"/>
  <c r="J1279" i="1"/>
  <c r="K1279" i="1"/>
  <c r="L1279" i="1"/>
  <c r="M1279" i="1"/>
  <c r="N1279" i="1"/>
  <c r="O1279" i="1"/>
  <c r="P1279" i="1"/>
  <c r="Q1279" i="1"/>
  <c r="A1280" i="1"/>
  <c r="B1280" i="1"/>
  <c r="C1280" i="1"/>
  <c r="E1280" i="1"/>
  <c r="F1280" i="1"/>
  <c r="G1280" i="1"/>
  <c r="H1280" i="1"/>
  <c r="I1280" i="1"/>
  <c r="J1280" i="1"/>
  <c r="K1280" i="1"/>
  <c r="L1280" i="1"/>
  <c r="M1280" i="1"/>
  <c r="N1280" i="1"/>
  <c r="O1280" i="1"/>
  <c r="P1280" i="1"/>
  <c r="Q1280" i="1"/>
  <c r="A1281" i="1"/>
  <c r="B1281" i="1"/>
  <c r="C1281" i="1"/>
  <c r="D1281" i="1"/>
  <c r="E1281" i="1"/>
  <c r="F1281" i="1"/>
  <c r="G1281" i="1"/>
  <c r="H1281" i="1"/>
  <c r="I1281" i="1"/>
  <c r="J1281" i="1"/>
  <c r="K1281" i="1"/>
  <c r="L1281" i="1"/>
  <c r="M1281" i="1"/>
  <c r="N1281" i="1"/>
  <c r="O1281" i="1"/>
  <c r="P1281" i="1"/>
  <c r="Q1281" i="1"/>
  <c r="A1282" i="1"/>
  <c r="B1282" i="1"/>
  <c r="C1282" i="1"/>
  <c r="D1282" i="1"/>
  <c r="E1282" i="1"/>
  <c r="F1282" i="1"/>
  <c r="G1282" i="1"/>
  <c r="H1282" i="1"/>
  <c r="I1282" i="1"/>
  <c r="J1282" i="1"/>
  <c r="K1282" i="1"/>
  <c r="L1282" i="1"/>
  <c r="M1282" i="1"/>
  <c r="N1282" i="1"/>
  <c r="O1282" i="1"/>
  <c r="P1282" i="1"/>
  <c r="Q1282" i="1"/>
  <c r="A1283" i="1"/>
  <c r="B1283" i="1"/>
  <c r="C1283" i="1"/>
  <c r="D1283" i="1"/>
  <c r="E1283" i="1"/>
  <c r="F1283" i="1"/>
  <c r="G1283" i="1"/>
  <c r="H1283" i="1"/>
  <c r="I1283" i="1"/>
  <c r="J1283" i="1"/>
  <c r="K1283" i="1"/>
  <c r="L1283" i="1"/>
  <c r="M1283" i="1"/>
  <c r="N1283" i="1"/>
  <c r="O1283" i="1"/>
  <c r="P1283" i="1"/>
  <c r="Q1283" i="1"/>
  <c r="A1284" i="1"/>
  <c r="B1284" i="1"/>
  <c r="C1284" i="1"/>
  <c r="D1284" i="1"/>
  <c r="E1284" i="1"/>
  <c r="F1284" i="1"/>
  <c r="G1284" i="1"/>
  <c r="H1284" i="1"/>
  <c r="I1284" i="1"/>
  <c r="J1284" i="1"/>
  <c r="K1284" i="1"/>
  <c r="L1284" i="1"/>
  <c r="M1284" i="1"/>
  <c r="N1284" i="1"/>
  <c r="O1284" i="1"/>
  <c r="P1284" i="1"/>
  <c r="Q1284" i="1"/>
  <c r="A1285" i="1"/>
  <c r="B1285" i="1"/>
  <c r="C1285" i="1"/>
  <c r="D1285" i="1"/>
  <c r="E1285" i="1"/>
  <c r="F1285" i="1"/>
  <c r="G1285" i="1"/>
  <c r="H1285" i="1"/>
  <c r="I1285" i="1"/>
  <c r="J1285" i="1"/>
  <c r="K1285" i="1"/>
  <c r="L1285" i="1"/>
  <c r="M1285" i="1"/>
  <c r="N1285" i="1"/>
  <c r="O1285" i="1"/>
  <c r="P1285" i="1"/>
  <c r="Q1285" i="1"/>
  <c r="A1286" i="1"/>
  <c r="B1286" i="1"/>
  <c r="C1286" i="1"/>
  <c r="E1286" i="1"/>
  <c r="F1286" i="1"/>
  <c r="G1286" i="1"/>
  <c r="H1286" i="1"/>
  <c r="I1286" i="1"/>
  <c r="J1286" i="1"/>
  <c r="K1286" i="1"/>
  <c r="L1286" i="1"/>
  <c r="M1286" i="1"/>
  <c r="N1286" i="1"/>
  <c r="O1286" i="1"/>
  <c r="P1286" i="1"/>
  <c r="Q1286" i="1"/>
  <c r="A1287" i="1"/>
  <c r="B1287" i="1"/>
  <c r="C1287" i="1"/>
  <c r="D1287" i="1"/>
  <c r="E1287" i="1"/>
  <c r="F1287" i="1"/>
  <c r="G1287" i="1"/>
  <c r="H1287" i="1"/>
  <c r="I1287" i="1"/>
  <c r="J1287" i="1"/>
  <c r="K1287" i="1"/>
  <c r="L1287" i="1"/>
  <c r="M1287" i="1"/>
  <c r="N1287" i="1"/>
  <c r="O1287" i="1"/>
  <c r="P1287" i="1"/>
  <c r="Q1287" i="1"/>
  <c r="A1288" i="1"/>
  <c r="B1288" i="1"/>
  <c r="C1288" i="1"/>
  <c r="D1288" i="1"/>
  <c r="E1288" i="1"/>
  <c r="F1288" i="1"/>
  <c r="G1288" i="1"/>
  <c r="H1288" i="1"/>
  <c r="I1288" i="1"/>
  <c r="J1288" i="1"/>
  <c r="K1288" i="1"/>
  <c r="L1288" i="1"/>
  <c r="M1288" i="1"/>
  <c r="N1288" i="1"/>
  <c r="O1288" i="1"/>
  <c r="P1288" i="1"/>
  <c r="Q1288" i="1"/>
  <c r="A1289" i="1"/>
  <c r="B1289" i="1"/>
  <c r="C1289" i="1"/>
  <c r="E1289" i="1"/>
  <c r="F1289" i="1"/>
  <c r="G1289" i="1"/>
  <c r="H1289" i="1"/>
  <c r="I1289" i="1"/>
  <c r="J1289" i="1"/>
  <c r="K1289" i="1"/>
  <c r="L1289" i="1"/>
  <c r="M1289" i="1"/>
  <c r="N1289" i="1"/>
  <c r="O1289" i="1"/>
  <c r="P1289" i="1"/>
  <c r="Q1289" i="1"/>
  <c r="A1290" i="1"/>
  <c r="B1290" i="1"/>
  <c r="C1290" i="1"/>
  <c r="E1290" i="1"/>
  <c r="F1290" i="1"/>
  <c r="G1290" i="1"/>
  <c r="H1290" i="1"/>
  <c r="I1290" i="1"/>
  <c r="J1290" i="1"/>
  <c r="K1290" i="1"/>
  <c r="L1290" i="1"/>
  <c r="M1290" i="1"/>
  <c r="N1290" i="1"/>
  <c r="O1290" i="1"/>
  <c r="P1290" i="1"/>
  <c r="Q1290" i="1"/>
  <c r="A1291" i="1"/>
  <c r="B1291" i="1"/>
  <c r="C1291" i="1"/>
  <c r="D1291" i="1"/>
  <c r="E1291" i="1"/>
  <c r="F1291" i="1"/>
  <c r="G1291" i="1"/>
  <c r="H1291" i="1"/>
  <c r="I1291" i="1"/>
  <c r="J1291" i="1"/>
  <c r="K1291" i="1"/>
  <c r="L1291" i="1"/>
  <c r="M1291" i="1"/>
  <c r="N1291" i="1"/>
  <c r="O1291" i="1"/>
  <c r="P1291" i="1"/>
  <c r="Q1291" i="1"/>
  <c r="A1292" i="1"/>
  <c r="B1292" i="1"/>
  <c r="C1292" i="1"/>
  <c r="D1292" i="1"/>
  <c r="E1292" i="1"/>
  <c r="F1292" i="1"/>
  <c r="G1292" i="1"/>
  <c r="H1292" i="1"/>
  <c r="I1292" i="1"/>
  <c r="J1292" i="1"/>
  <c r="K1292" i="1"/>
  <c r="L1292" i="1"/>
  <c r="M1292" i="1"/>
  <c r="N1292" i="1"/>
  <c r="O1292" i="1"/>
  <c r="P1292" i="1"/>
  <c r="Q1292" i="1"/>
  <c r="A1293" i="1"/>
  <c r="B1293" i="1"/>
  <c r="C1293" i="1"/>
  <c r="D1293" i="1"/>
  <c r="E1293" i="1"/>
  <c r="F1293" i="1"/>
  <c r="G1293" i="1"/>
  <c r="H1293" i="1"/>
  <c r="I1293" i="1"/>
  <c r="J1293" i="1"/>
  <c r="K1293" i="1"/>
  <c r="L1293" i="1"/>
  <c r="M1293" i="1"/>
  <c r="N1293" i="1"/>
  <c r="O1293" i="1"/>
  <c r="P1293" i="1"/>
  <c r="Q1293" i="1"/>
  <c r="A1294" i="1"/>
  <c r="B1294" i="1"/>
  <c r="C1294" i="1"/>
  <c r="D1294" i="1"/>
  <c r="E1294" i="1"/>
  <c r="F1294" i="1"/>
  <c r="G1294" i="1"/>
  <c r="H1294" i="1"/>
  <c r="I1294" i="1"/>
  <c r="J1294" i="1"/>
  <c r="K1294" i="1"/>
  <c r="L1294" i="1"/>
  <c r="M1294" i="1"/>
  <c r="N1294" i="1"/>
  <c r="O1294" i="1"/>
  <c r="P1294" i="1"/>
  <c r="Q1294" i="1"/>
  <c r="A1295" i="1"/>
  <c r="B1295" i="1"/>
  <c r="C1295" i="1"/>
  <c r="D1295" i="1"/>
  <c r="E1295" i="1"/>
  <c r="F1295" i="1"/>
  <c r="G1295" i="1"/>
  <c r="H1295" i="1"/>
  <c r="I1295" i="1"/>
  <c r="J1295" i="1"/>
  <c r="K1295" i="1"/>
  <c r="L1295" i="1"/>
  <c r="M1295" i="1"/>
  <c r="N1295" i="1"/>
  <c r="O1295" i="1"/>
  <c r="P1295" i="1"/>
  <c r="Q1295" i="1"/>
  <c r="A1296" i="1"/>
  <c r="B1296" i="1"/>
  <c r="C1296" i="1"/>
  <c r="E1296" i="1"/>
  <c r="F1296" i="1"/>
  <c r="G1296" i="1"/>
  <c r="H1296" i="1"/>
  <c r="I1296" i="1"/>
  <c r="J1296" i="1"/>
  <c r="K1296" i="1"/>
  <c r="L1296" i="1"/>
  <c r="M1296" i="1"/>
  <c r="N1296" i="1"/>
  <c r="O1296" i="1"/>
  <c r="P1296" i="1"/>
  <c r="Q1296" i="1"/>
  <c r="A1297" i="1"/>
  <c r="B1297" i="1"/>
  <c r="C1297" i="1"/>
  <c r="D1297" i="1"/>
  <c r="E1297" i="1"/>
  <c r="F1297" i="1"/>
  <c r="G1297" i="1"/>
  <c r="H1297" i="1"/>
  <c r="I1297" i="1"/>
  <c r="J1297" i="1"/>
  <c r="K1297" i="1"/>
  <c r="L1297" i="1"/>
  <c r="M1297" i="1"/>
  <c r="N1297" i="1"/>
  <c r="O1297" i="1"/>
  <c r="P1297" i="1"/>
  <c r="Q1297" i="1"/>
  <c r="A1298" i="1"/>
  <c r="B1298" i="1"/>
  <c r="C1298" i="1"/>
  <c r="E1298" i="1"/>
  <c r="F1298" i="1"/>
  <c r="G1298" i="1"/>
  <c r="H1298" i="1"/>
  <c r="I1298" i="1"/>
  <c r="J1298" i="1"/>
  <c r="K1298" i="1"/>
  <c r="L1298" i="1"/>
  <c r="M1298" i="1"/>
  <c r="N1298" i="1"/>
  <c r="O1298" i="1"/>
  <c r="P1298" i="1"/>
  <c r="Q1298" i="1"/>
  <c r="A1299" i="1"/>
  <c r="B1299" i="1"/>
  <c r="C1299" i="1"/>
  <c r="D1299" i="1"/>
  <c r="E1299" i="1"/>
  <c r="F1299" i="1"/>
  <c r="G1299" i="1"/>
  <c r="H1299" i="1"/>
  <c r="I1299" i="1"/>
  <c r="J1299" i="1"/>
  <c r="K1299" i="1"/>
  <c r="L1299" i="1"/>
  <c r="M1299" i="1"/>
  <c r="N1299" i="1"/>
  <c r="O1299" i="1"/>
  <c r="P1299" i="1"/>
  <c r="Q1299" i="1"/>
  <c r="A1300" i="1"/>
  <c r="B1300" i="1"/>
  <c r="C1300" i="1"/>
  <c r="E1300" i="1"/>
  <c r="F1300" i="1"/>
  <c r="G1300" i="1"/>
  <c r="H1300" i="1"/>
  <c r="I1300" i="1"/>
  <c r="J1300" i="1"/>
  <c r="K1300" i="1"/>
  <c r="L1300" i="1"/>
  <c r="M1300" i="1"/>
  <c r="N1300" i="1"/>
  <c r="O1300" i="1"/>
  <c r="P1300" i="1"/>
  <c r="Q1300" i="1"/>
  <c r="A1301" i="1"/>
  <c r="B1301" i="1"/>
  <c r="C1301" i="1"/>
  <c r="D1301" i="1"/>
  <c r="E1301" i="1"/>
  <c r="F1301" i="1"/>
  <c r="G1301" i="1"/>
  <c r="H1301" i="1"/>
  <c r="I1301" i="1"/>
  <c r="J1301" i="1"/>
  <c r="K1301" i="1"/>
  <c r="L1301" i="1"/>
  <c r="M1301" i="1"/>
  <c r="N1301" i="1"/>
  <c r="O1301" i="1"/>
  <c r="P1301" i="1"/>
  <c r="Q1301" i="1"/>
  <c r="A1302" i="1"/>
  <c r="B1302" i="1"/>
  <c r="C1302" i="1"/>
  <c r="D1302" i="1"/>
  <c r="E1302" i="1"/>
  <c r="F1302" i="1"/>
  <c r="G1302" i="1"/>
  <c r="H1302" i="1"/>
  <c r="I1302" i="1"/>
  <c r="J1302" i="1"/>
  <c r="K1302" i="1"/>
  <c r="L1302" i="1"/>
  <c r="M1302" i="1"/>
  <c r="N1302" i="1"/>
  <c r="O1302" i="1"/>
  <c r="P1302" i="1"/>
  <c r="Q1302" i="1"/>
  <c r="A1303" i="1"/>
  <c r="B1303" i="1"/>
  <c r="C1303" i="1"/>
  <c r="E1303" i="1"/>
  <c r="F1303" i="1"/>
  <c r="G1303" i="1"/>
  <c r="H1303" i="1"/>
  <c r="I1303" i="1"/>
  <c r="J1303" i="1"/>
  <c r="K1303" i="1"/>
  <c r="L1303" i="1"/>
  <c r="M1303" i="1"/>
  <c r="N1303" i="1"/>
  <c r="O1303" i="1"/>
  <c r="P1303" i="1"/>
  <c r="Q1303" i="1"/>
  <c r="A1304" i="1"/>
  <c r="B1304" i="1"/>
  <c r="C1304" i="1"/>
  <c r="E1304" i="1"/>
  <c r="F1304" i="1"/>
  <c r="G1304" i="1"/>
  <c r="H1304" i="1"/>
  <c r="I1304" i="1"/>
  <c r="J1304" i="1"/>
  <c r="K1304" i="1"/>
  <c r="L1304" i="1"/>
  <c r="M1304" i="1"/>
  <c r="N1304" i="1"/>
  <c r="O1304" i="1"/>
  <c r="P1304" i="1"/>
  <c r="Q1304" i="1"/>
  <c r="A1305" i="1"/>
  <c r="B1305" i="1"/>
  <c r="C1305" i="1"/>
  <c r="E1305" i="1"/>
  <c r="F1305" i="1"/>
  <c r="G1305" i="1"/>
  <c r="H1305" i="1"/>
  <c r="I1305" i="1"/>
  <c r="J1305" i="1"/>
  <c r="K1305" i="1"/>
  <c r="L1305" i="1"/>
  <c r="M1305" i="1"/>
  <c r="N1305" i="1"/>
  <c r="O1305" i="1"/>
  <c r="P1305" i="1"/>
  <c r="Q1305" i="1"/>
  <c r="A1306" i="1"/>
  <c r="B1306" i="1"/>
  <c r="C1306" i="1"/>
  <c r="E1306" i="1"/>
  <c r="F1306" i="1"/>
  <c r="G1306" i="1"/>
  <c r="H1306" i="1"/>
  <c r="I1306" i="1"/>
  <c r="J1306" i="1"/>
  <c r="K1306" i="1"/>
  <c r="L1306" i="1"/>
  <c r="M1306" i="1"/>
  <c r="N1306" i="1"/>
  <c r="O1306" i="1"/>
  <c r="P1306" i="1"/>
  <c r="Q1306" i="1"/>
  <c r="A1307" i="1"/>
  <c r="B1307" i="1"/>
  <c r="C1307" i="1"/>
  <c r="E1307" i="1"/>
  <c r="F1307" i="1"/>
  <c r="G1307" i="1"/>
  <c r="H1307" i="1"/>
  <c r="I1307" i="1"/>
  <c r="J1307" i="1"/>
  <c r="K1307" i="1"/>
  <c r="L1307" i="1"/>
  <c r="M1307" i="1"/>
  <c r="N1307" i="1"/>
  <c r="O1307" i="1"/>
  <c r="P1307" i="1"/>
  <c r="Q1307" i="1"/>
  <c r="A1308" i="1"/>
  <c r="B1308" i="1"/>
  <c r="C1308" i="1"/>
  <c r="E1308" i="1"/>
  <c r="F1308" i="1"/>
  <c r="G1308" i="1"/>
  <c r="H1308" i="1"/>
  <c r="I1308" i="1"/>
  <c r="J1308" i="1"/>
  <c r="K1308" i="1"/>
  <c r="L1308" i="1"/>
  <c r="M1308" i="1"/>
  <c r="N1308" i="1"/>
  <c r="O1308" i="1"/>
  <c r="P1308" i="1"/>
  <c r="Q1308" i="1"/>
  <c r="A1309" i="1"/>
  <c r="B1309" i="1"/>
  <c r="C1309" i="1"/>
  <c r="D1309" i="1"/>
  <c r="E1309" i="1"/>
  <c r="F1309" i="1"/>
  <c r="G1309" i="1"/>
  <c r="H1309" i="1"/>
  <c r="I1309" i="1"/>
  <c r="J1309" i="1"/>
  <c r="K1309" i="1"/>
  <c r="L1309" i="1"/>
  <c r="M1309" i="1"/>
  <c r="N1309" i="1"/>
  <c r="O1309" i="1"/>
  <c r="P1309" i="1"/>
  <c r="Q1309" i="1"/>
  <c r="A1310" i="1"/>
  <c r="B1310" i="1"/>
  <c r="E1310" i="1"/>
  <c r="F1310" i="1"/>
  <c r="G1310" i="1"/>
  <c r="H1310" i="1"/>
  <c r="I1310" i="1"/>
  <c r="J1310" i="1"/>
  <c r="K1310" i="1"/>
  <c r="L1310" i="1"/>
  <c r="M1310" i="1"/>
  <c r="N1310" i="1"/>
  <c r="O1310" i="1"/>
  <c r="P1310" i="1"/>
  <c r="Q1310" i="1"/>
  <c r="A1311" i="1"/>
  <c r="B1311" i="1"/>
  <c r="C1311" i="1"/>
  <c r="D1311" i="1"/>
  <c r="E1311" i="1"/>
  <c r="F1311" i="1"/>
  <c r="G1311" i="1"/>
  <c r="H1311" i="1"/>
  <c r="I1311" i="1"/>
  <c r="J1311" i="1"/>
  <c r="K1311" i="1"/>
  <c r="L1311" i="1"/>
  <c r="M1311" i="1"/>
  <c r="N1311" i="1"/>
  <c r="O1311" i="1"/>
  <c r="P1311" i="1"/>
  <c r="Q1311" i="1"/>
  <c r="A1312" i="1"/>
  <c r="B1312" i="1"/>
  <c r="C1312" i="1"/>
  <c r="E1312" i="1"/>
  <c r="F1312" i="1"/>
  <c r="G1312" i="1"/>
  <c r="H1312" i="1"/>
  <c r="I1312" i="1"/>
  <c r="J1312" i="1"/>
  <c r="K1312" i="1"/>
  <c r="L1312" i="1"/>
  <c r="M1312" i="1"/>
  <c r="N1312" i="1"/>
  <c r="O1312" i="1"/>
  <c r="P1312" i="1"/>
  <c r="Q1312" i="1"/>
  <c r="A1313" i="1"/>
  <c r="B1313" i="1"/>
  <c r="C1313" i="1"/>
  <c r="D1313" i="1"/>
  <c r="E1313" i="1"/>
  <c r="F1313" i="1"/>
  <c r="G1313" i="1"/>
  <c r="H1313" i="1"/>
  <c r="I1313" i="1"/>
  <c r="J1313" i="1"/>
  <c r="K1313" i="1"/>
  <c r="L1313" i="1"/>
  <c r="M1313" i="1"/>
  <c r="N1313" i="1"/>
  <c r="O1313" i="1"/>
  <c r="P1313" i="1"/>
  <c r="Q1313" i="1"/>
  <c r="A1314" i="1"/>
  <c r="B1314" i="1"/>
  <c r="C1314" i="1"/>
  <c r="D1314" i="1"/>
  <c r="E1314" i="1"/>
  <c r="F1314" i="1"/>
  <c r="G1314" i="1"/>
  <c r="H1314" i="1"/>
  <c r="I1314" i="1"/>
  <c r="J1314" i="1"/>
  <c r="K1314" i="1"/>
  <c r="L1314" i="1"/>
  <c r="M1314" i="1"/>
  <c r="N1314" i="1"/>
  <c r="O1314" i="1"/>
  <c r="P1314" i="1"/>
  <c r="Q1314" i="1"/>
  <c r="A1315" i="1"/>
  <c r="B1315" i="1"/>
  <c r="C1315" i="1"/>
  <c r="D1315" i="1"/>
  <c r="E1315" i="1"/>
  <c r="F1315" i="1"/>
  <c r="G1315" i="1"/>
  <c r="H1315" i="1"/>
  <c r="I1315" i="1"/>
  <c r="J1315" i="1"/>
  <c r="K1315" i="1"/>
  <c r="L1315" i="1"/>
  <c r="M1315" i="1"/>
  <c r="N1315" i="1"/>
  <c r="O1315" i="1"/>
  <c r="P1315" i="1"/>
  <c r="Q1315" i="1"/>
  <c r="A1316" i="1"/>
  <c r="B1316" i="1"/>
  <c r="C1316" i="1"/>
  <c r="E1316" i="1"/>
  <c r="F1316" i="1"/>
  <c r="G1316" i="1"/>
  <c r="H1316" i="1"/>
  <c r="I1316" i="1"/>
  <c r="J1316" i="1"/>
  <c r="K1316" i="1"/>
  <c r="L1316" i="1"/>
  <c r="M1316" i="1"/>
  <c r="N1316" i="1"/>
  <c r="O1316" i="1"/>
  <c r="P1316" i="1"/>
  <c r="Q1316" i="1"/>
  <c r="A1317" i="1"/>
  <c r="B1317" i="1"/>
  <c r="C1317" i="1"/>
  <c r="E1317" i="1"/>
  <c r="F1317" i="1"/>
  <c r="G1317" i="1"/>
  <c r="H1317" i="1"/>
  <c r="I1317" i="1"/>
  <c r="J1317" i="1"/>
  <c r="K1317" i="1"/>
  <c r="L1317" i="1"/>
  <c r="M1317" i="1"/>
  <c r="N1317" i="1"/>
  <c r="O1317" i="1"/>
  <c r="P1317" i="1"/>
  <c r="Q1317" i="1"/>
  <c r="A1318" i="1"/>
  <c r="B1318" i="1"/>
  <c r="C1318" i="1"/>
  <c r="E1318" i="1"/>
  <c r="F1318" i="1"/>
  <c r="G1318" i="1"/>
  <c r="H1318" i="1"/>
  <c r="I1318" i="1"/>
  <c r="J1318" i="1"/>
  <c r="K1318" i="1"/>
  <c r="L1318" i="1"/>
  <c r="M1318" i="1"/>
  <c r="N1318" i="1"/>
  <c r="O1318" i="1"/>
  <c r="P1318" i="1"/>
  <c r="Q1318" i="1"/>
  <c r="A1319" i="1"/>
  <c r="B1319" i="1"/>
  <c r="C1319" i="1"/>
  <c r="D1319" i="1"/>
  <c r="E1319" i="1"/>
  <c r="F1319" i="1"/>
  <c r="G1319" i="1"/>
  <c r="H1319" i="1"/>
  <c r="I1319" i="1"/>
  <c r="J1319" i="1"/>
  <c r="K1319" i="1"/>
  <c r="L1319" i="1"/>
  <c r="M1319" i="1"/>
  <c r="N1319" i="1"/>
  <c r="O1319" i="1"/>
  <c r="P1319" i="1"/>
  <c r="Q1319" i="1"/>
  <c r="A1320" i="1"/>
  <c r="B1320" i="1"/>
  <c r="C1320" i="1"/>
  <c r="D1320" i="1"/>
  <c r="E1320" i="1"/>
  <c r="F1320" i="1"/>
  <c r="G1320" i="1"/>
  <c r="H1320" i="1"/>
  <c r="I1320" i="1"/>
  <c r="J1320" i="1"/>
  <c r="K1320" i="1"/>
  <c r="L1320" i="1"/>
  <c r="M1320" i="1"/>
  <c r="N1320" i="1"/>
  <c r="O1320" i="1"/>
  <c r="P1320" i="1"/>
  <c r="Q1320" i="1"/>
  <c r="A1321" i="1"/>
  <c r="B1321" i="1"/>
  <c r="C1321" i="1"/>
  <c r="D1321" i="1"/>
  <c r="E1321" i="1"/>
  <c r="F1321" i="1"/>
  <c r="G1321" i="1"/>
  <c r="H1321" i="1"/>
  <c r="I1321" i="1"/>
  <c r="J1321" i="1"/>
  <c r="K1321" i="1"/>
  <c r="L1321" i="1"/>
  <c r="M1321" i="1"/>
  <c r="N1321" i="1"/>
  <c r="O1321" i="1"/>
  <c r="P1321" i="1"/>
  <c r="Q1321" i="1"/>
  <c r="A1322" i="1"/>
  <c r="B1322" i="1"/>
  <c r="C1322" i="1"/>
  <c r="E1322" i="1"/>
  <c r="F1322" i="1"/>
  <c r="G1322" i="1"/>
  <c r="H1322" i="1"/>
  <c r="I1322" i="1"/>
  <c r="J1322" i="1"/>
  <c r="K1322" i="1"/>
  <c r="L1322" i="1"/>
  <c r="M1322" i="1"/>
  <c r="N1322" i="1"/>
  <c r="O1322" i="1"/>
  <c r="P1322" i="1"/>
  <c r="Q1322" i="1"/>
  <c r="A1323" i="1"/>
  <c r="B1323" i="1"/>
  <c r="C1323" i="1"/>
  <c r="D1323" i="1"/>
  <c r="E1323" i="1"/>
  <c r="F1323" i="1"/>
  <c r="G1323" i="1"/>
  <c r="H1323" i="1"/>
  <c r="I1323" i="1"/>
  <c r="J1323" i="1"/>
  <c r="K1323" i="1"/>
  <c r="L1323" i="1"/>
  <c r="M1323" i="1"/>
  <c r="N1323" i="1"/>
  <c r="O1323" i="1"/>
  <c r="P1323" i="1"/>
  <c r="Q1323" i="1"/>
  <c r="A1324" i="1"/>
  <c r="B1324" i="1"/>
  <c r="C1324" i="1"/>
  <c r="D1324" i="1"/>
  <c r="E1324" i="1"/>
  <c r="F1324" i="1"/>
  <c r="G1324" i="1"/>
  <c r="H1324" i="1"/>
  <c r="I1324" i="1"/>
  <c r="J1324" i="1"/>
  <c r="K1324" i="1"/>
  <c r="L1324" i="1"/>
  <c r="M1324" i="1"/>
  <c r="N1324" i="1"/>
  <c r="O1324" i="1"/>
  <c r="P1324" i="1"/>
  <c r="Q1324" i="1"/>
  <c r="A1325" i="1"/>
  <c r="B1325" i="1"/>
  <c r="C1325" i="1"/>
  <c r="E1325" i="1"/>
  <c r="F1325" i="1"/>
  <c r="G1325" i="1"/>
  <c r="H1325" i="1"/>
  <c r="I1325" i="1"/>
  <c r="J1325" i="1"/>
  <c r="K1325" i="1"/>
  <c r="L1325" i="1"/>
  <c r="M1325" i="1"/>
  <c r="N1325" i="1"/>
  <c r="O1325" i="1"/>
  <c r="P1325" i="1"/>
  <c r="Q1325" i="1"/>
  <c r="A1326" i="1"/>
  <c r="B1326" i="1"/>
  <c r="C1326" i="1"/>
  <c r="E1326" i="1"/>
  <c r="F1326" i="1"/>
  <c r="G1326" i="1"/>
  <c r="H1326" i="1"/>
  <c r="I1326" i="1"/>
  <c r="J1326" i="1"/>
  <c r="K1326" i="1"/>
  <c r="L1326" i="1"/>
  <c r="M1326" i="1"/>
  <c r="N1326" i="1"/>
  <c r="O1326" i="1"/>
  <c r="P1326" i="1"/>
  <c r="Q1326" i="1"/>
  <c r="A1327" i="1"/>
  <c r="B1327" i="1"/>
  <c r="C1327" i="1"/>
  <c r="E1327" i="1"/>
  <c r="F1327" i="1"/>
  <c r="G1327" i="1"/>
  <c r="H1327" i="1"/>
  <c r="I1327" i="1"/>
  <c r="J1327" i="1"/>
  <c r="K1327" i="1"/>
  <c r="L1327" i="1"/>
  <c r="M1327" i="1"/>
  <c r="N1327" i="1"/>
  <c r="O1327" i="1"/>
  <c r="P1327" i="1"/>
  <c r="Q1327" i="1"/>
  <c r="A1328" i="1"/>
  <c r="B1328" i="1"/>
  <c r="C1328" i="1"/>
  <c r="E1328" i="1"/>
  <c r="F1328" i="1"/>
  <c r="G1328" i="1"/>
  <c r="H1328" i="1"/>
  <c r="I1328" i="1"/>
  <c r="J1328" i="1"/>
  <c r="K1328" i="1"/>
  <c r="L1328" i="1"/>
  <c r="M1328" i="1"/>
  <c r="N1328" i="1"/>
  <c r="O1328" i="1"/>
  <c r="P1328" i="1"/>
  <c r="Q1328" i="1"/>
  <c r="A1329" i="1"/>
  <c r="B1329" i="1"/>
  <c r="C1329" i="1"/>
  <c r="E1329" i="1"/>
  <c r="F1329" i="1"/>
  <c r="G1329" i="1"/>
  <c r="H1329" i="1"/>
  <c r="I1329" i="1"/>
  <c r="J1329" i="1"/>
  <c r="K1329" i="1"/>
  <c r="L1329" i="1"/>
  <c r="M1329" i="1"/>
  <c r="N1329" i="1"/>
  <c r="O1329" i="1"/>
  <c r="P1329" i="1"/>
  <c r="Q1329" i="1"/>
  <c r="A1330" i="1"/>
  <c r="B1330" i="1"/>
  <c r="C1330" i="1"/>
  <c r="D1330" i="1"/>
  <c r="E1330" i="1"/>
  <c r="F1330" i="1"/>
  <c r="G1330" i="1"/>
  <c r="H1330" i="1"/>
  <c r="I1330" i="1"/>
  <c r="J1330" i="1"/>
  <c r="K1330" i="1"/>
  <c r="L1330" i="1"/>
  <c r="M1330" i="1"/>
  <c r="N1330" i="1"/>
  <c r="O1330" i="1"/>
  <c r="P1330" i="1"/>
  <c r="Q1330" i="1"/>
  <c r="A1331" i="1"/>
  <c r="B1331" i="1"/>
  <c r="C1331" i="1"/>
  <c r="D1331" i="1"/>
  <c r="E1331" i="1"/>
  <c r="F1331" i="1"/>
  <c r="G1331" i="1"/>
  <c r="H1331" i="1"/>
  <c r="I1331" i="1"/>
  <c r="J1331" i="1"/>
  <c r="K1331" i="1"/>
  <c r="L1331" i="1"/>
  <c r="M1331" i="1"/>
  <c r="N1331" i="1"/>
  <c r="O1331" i="1"/>
  <c r="P1331" i="1"/>
  <c r="Q1331" i="1"/>
  <c r="A1332" i="1"/>
  <c r="B1332" i="1"/>
  <c r="C1332" i="1"/>
  <c r="D1332" i="1"/>
  <c r="E1332" i="1"/>
  <c r="F1332" i="1"/>
  <c r="G1332" i="1"/>
  <c r="H1332" i="1"/>
  <c r="I1332" i="1"/>
  <c r="J1332" i="1"/>
  <c r="K1332" i="1"/>
  <c r="L1332" i="1"/>
  <c r="M1332" i="1"/>
  <c r="N1332" i="1"/>
  <c r="O1332" i="1"/>
  <c r="P1332" i="1"/>
  <c r="Q1332" i="1"/>
  <c r="A1333" i="1"/>
  <c r="B1333" i="1"/>
  <c r="C1333" i="1"/>
  <c r="D1333" i="1"/>
  <c r="E1333" i="1"/>
  <c r="F1333" i="1"/>
  <c r="G1333" i="1"/>
  <c r="H1333" i="1"/>
  <c r="I1333" i="1"/>
  <c r="J1333" i="1"/>
  <c r="K1333" i="1"/>
  <c r="L1333" i="1"/>
  <c r="M1333" i="1"/>
  <c r="N1333" i="1"/>
  <c r="O1333" i="1"/>
  <c r="P1333" i="1"/>
  <c r="Q1333" i="1"/>
  <c r="A1334" i="1"/>
  <c r="B1334" i="1"/>
  <c r="C1334" i="1"/>
  <c r="E1334" i="1"/>
  <c r="F1334" i="1"/>
  <c r="G1334" i="1"/>
  <c r="H1334" i="1"/>
  <c r="I1334" i="1"/>
  <c r="J1334" i="1"/>
  <c r="K1334" i="1"/>
  <c r="L1334" i="1"/>
  <c r="M1334" i="1"/>
  <c r="N1334" i="1"/>
  <c r="O1334" i="1"/>
  <c r="P1334" i="1"/>
  <c r="Q1334" i="1"/>
  <c r="A1335" i="1"/>
  <c r="B1335" i="1"/>
  <c r="C1335" i="1"/>
  <c r="D1335" i="1"/>
  <c r="E1335" i="1"/>
  <c r="F1335" i="1"/>
  <c r="G1335" i="1"/>
  <c r="H1335" i="1"/>
  <c r="I1335" i="1"/>
  <c r="J1335" i="1"/>
  <c r="K1335" i="1"/>
  <c r="L1335" i="1"/>
  <c r="M1335" i="1"/>
  <c r="N1335" i="1"/>
  <c r="O1335" i="1"/>
  <c r="P1335" i="1"/>
  <c r="Q1335" i="1"/>
  <c r="A1336" i="1"/>
  <c r="B1336" i="1"/>
  <c r="C1336" i="1"/>
  <c r="E1336" i="1"/>
  <c r="F1336" i="1"/>
  <c r="G1336" i="1"/>
  <c r="H1336" i="1"/>
  <c r="I1336" i="1"/>
  <c r="J1336" i="1"/>
  <c r="K1336" i="1"/>
  <c r="L1336" i="1"/>
  <c r="M1336" i="1"/>
  <c r="N1336" i="1"/>
  <c r="O1336" i="1"/>
  <c r="P1336" i="1"/>
  <c r="Q1336" i="1"/>
  <c r="A1337" i="1"/>
  <c r="B1337" i="1"/>
  <c r="C1337" i="1"/>
  <c r="E1337" i="1"/>
  <c r="F1337" i="1"/>
  <c r="G1337" i="1"/>
  <c r="H1337" i="1"/>
  <c r="I1337" i="1"/>
  <c r="J1337" i="1"/>
  <c r="K1337" i="1"/>
  <c r="L1337" i="1"/>
  <c r="M1337" i="1"/>
  <c r="N1337" i="1"/>
  <c r="O1337" i="1"/>
  <c r="P1337" i="1"/>
  <c r="Q1337" i="1"/>
  <c r="A1338" i="1"/>
  <c r="B1338" i="1"/>
  <c r="C1338" i="1"/>
  <c r="D1338" i="1"/>
  <c r="E1338" i="1"/>
  <c r="F1338" i="1"/>
  <c r="G1338" i="1"/>
  <c r="H1338" i="1"/>
  <c r="I1338" i="1"/>
  <c r="J1338" i="1"/>
  <c r="K1338" i="1"/>
  <c r="L1338" i="1"/>
  <c r="M1338" i="1"/>
  <c r="N1338" i="1"/>
  <c r="O1338" i="1"/>
  <c r="P1338" i="1"/>
  <c r="Q1338" i="1"/>
  <c r="A1339" i="1"/>
  <c r="B1339" i="1"/>
  <c r="C1339" i="1"/>
  <c r="D1339" i="1"/>
  <c r="E1339" i="1"/>
  <c r="F1339" i="1"/>
  <c r="G1339" i="1"/>
  <c r="H1339" i="1"/>
  <c r="I1339" i="1"/>
  <c r="J1339" i="1"/>
  <c r="K1339" i="1"/>
  <c r="L1339" i="1"/>
  <c r="M1339" i="1"/>
  <c r="N1339" i="1"/>
  <c r="O1339" i="1"/>
  <c r="P1339" i="1"/>
  <c r="Q1339" i="1"/>
  <c r="A1340" i="1"/>
  <c r="B1340" i="1"/>
  <c r="C1340" i="1"/>
  <c r="E1340" i="1"/>
  <c r="F1340" i="1"/>
  <c r="G1340" i="1"/>
  <c r="H1340" i="1"/>
  <c r="I1340" i="1"/>
  <c r="J1340" i="1"/>
  <c r="K1340" i="1"/>
  <c r="L1340" i="1"/>
  <c r="M1340" i="1"/>
  <c r="N1340" i="1"/>
  <c r="O1340" i="1"/>
  <c r="P1340" i="1"/>
  <c r="Q1340" i="1"/>
  <c r="A1341" i="1"/>
  <c r="B1341" i="1"/>
  <c r="C1341" i="1"/>
  <c r="E1341" i="1"/>
  <c r="F1341" i="1"/>
  <c r="G1341" i="1"/>
  <c r="H1341" i="1"/>
  <c r="I1341" i="1"/>
  <c r="J1341" i="1"/>
  <c r="K1341" i="1"/>
  <c r="L1341" i="1"/>
  <c r="M1341" i="1"/>
  <c r="N1341" i="1"/>
  <c r="O1341" i="1"/>
  <c r="P1341" i="1"/>
  <c r="Q1341" i="1"/>
  <c r="A1342" i="1"/>
  <c r="B1342" i="1"/>
  <c r="C1342" i="1"/>
  <c r="E1342" i="1"/>
  <c r="F1342" i="1"/>
  <c r="G1342" i="1"/>
  <c r="H1342" i="1"/>
  <c r="I1342" i="1"/>
  <c r="J1342" i="1"/>
  <c r="K1342" i="1"/>
  <c r="L1342" i="1"/>
  <c r="M1342" i="1"/>
  <c r="N1342" i="1"/>
  <c r="O1342" i="1"/>
  <c r="P1342" i="1"/>
  <c r="Q1342" i="1"/>
  <c r="A1343" i="1"/>
  <c r="B1343" i="1"/>
  <c r="C1343" i="1"/>
  <c r="D1343" i="1"/>
  <c r="E1343" i="1"/>
  <c r="F1343" i="1"/>
  <c r="G1343" i="1"/>
  <c r="H1343" i="1"/>
  <c r="I1343" i="1"/>
  <c r="J1343" i="1"/>
  <c r="K1343" i="1"/>
  <c r="L1343" i="1"/>
  <c r="M1343" i="1"/>
  <c r="N1343" i="1"/>
  <c r="O1343" i="1"/>
  <c r="P1343" i="1"/>
  <c r="Q1343" i="1"/>
  <c r="A1344" i="1"/>
  <c r="B1344" i="1"/>
  <c r="C1344" i="1"/>
  <c r="D1344" i="1"/>
  <c r="E1344" i="1"/>
  <c r="F1344" i="1"/>
  <c r="G1344" i="1"/>
  <c r="H1344" i="1"/>
  <c r="I1344" i="1"/>
  <c r="J1344" i="1"/>
  <c r="K1344" i="1"/>
  <c r="L1344" i="1"/>
  <c r="M1344" i="1"/>
  <c r="N1344" i="1"/>
  <c r="O1344" i="1"/>
  <c r="P1344" i="1"/>
  <c r="Q1344" i="1"/>
  <c r="A1345" i="1"/>
  <c r="B1345" i="1"/>
  <c r="C1345" i="1"/>
  <c r="E1345" i="1"/>
  <c r="F1345" i="1"/>
  <c r="G1345" i="1"/>
  <c r="H1345" i="1"/>
  <c r="I1345" i="1"/>
  <c r="J1345" i="1"/>
  <c r="K1345" i="1"/>
  <c r="L1345" i="1"/>
  <c r="M1345" i="1"/>
  <c r="N1345" i="1"/>
  <c r="O1345" i="1"/>
  <c r="P1345" i="1"/>
  <c r="Q1345" i="1"/>
  <c r="A1346" i="1"/>
  <c r="B1346" i="1"/>
  <c r="C1346" i="1"/>
  <c r="D1346" i="1"/>
  <c r="E1346" i="1"/>
  <c r="F1346" i="1"/>
  <c r="G1346" i="1"/>
  <c r="H1346" i="1"/>
  <c r="I1346" i="1"/>
  <c r="J1346" i="1"/>
  <c r="K1346" i="1"/>
  <c r="L1346" i="1"/>
  <c r="M1346" i="1"/>
  <c r="N1346" i="1"/>
  <c r="O1346" i="1"/>
  <c r="P1346" i="1"/>
  <c r="Q1346" i="1"/>
  <c r="A1347" i="1"/>
  <c r="B1347" i="1"/>
  <c r="C1347" i="1"/>
  <c r="E1347" i="1"/>
  <c r="F1347" i="1"/>
  <c r="G1347" i="1"/>
  <c r="H1347" i="1"/>
  <c r="I1347" i="1"/>
  <c r="J1347" i="1"/>
  <c r="K1347" i="1"/>
  <c r="L1347" i="1"/>
  <c r="M1347" i="1"/>
  <c r="N1347" i="1"/>
  <c r="O1347" i="1"/>
  <c r="P1347" i="1"/>
  <c r="Q1347" i="1"/>
  <c r="A1348" i="1"/>
  <c r="B1348" i="1"/>
  <c r="C1348" i="1"/>
  <c r="D1348" i="1"/>
  <c r="E1348" i="1"/>
  <c r="F1348" i="1"/>
  <c r="G1348" i="1"/>
  <c r="H1348" i="1"/>
  <c r="I1348" i="1"/>
  <c r="J1348" i="1"/>
  <c r="K1348" i="1"/>
  <c r="L1348" i="1"/>
  <c r="M1348" i="1"/>
  <c r="N1348" i="1"/>
  <c r="O1348" i="1"/>
  <c r="P1348" i="1"/>
  <c r="Q1348" i="1"/>
  <c r="A1349" i="1"/>
  <c r="B1349" i="1"/>
  <c r="C1349" i="1"/>
  <c r="D1349" i="1"/>
  <c r="E1349" i="1"/>
  <c r="F1349" i="1"/>
  <c r="G1349" i="1"/>
  <c r="H1349" i="1"/>
  <c r="I1349" i="1"/>
  <c r="J1349" i="1"/>
  <c r="K1349" i="1"/>
  <c r="L1349" i="1"/>
  <c r="M1349" i="1"/>
  <c r="N1349" i="1"/>
  <c r="O1349" i="1"/>
  <c r="P1349" i="1"/>
  <c r="Q1349" i="1"/>
  <c r="A1350" i="1"/>
  <c r="B1350" i="1"/>
  <c r="C1350" i="1"/>
  <c r="D1350" i="1"/>
  <c r="E1350" i="1"/>
  <c r="F1350" i="1"/>
  <c r="G1350" i="1"/>
  <c r="H1350" i="1"/>
  <c r="I1350" i="1"/>
  <c r="J1350" i="1"/>
  <c r="K1350" i="1"/>
  <c r="L1350" i="1"/>
  <c r="M1350" i="1"/>
  <c r="N1350" i="1"/>
  <c r="O1350" i="1"/>
  <c r="P1350" i="1"/>
  <c r="Q1350" i="1"/>
  <c r="A1351" i="1"/>
  <c r="B1351" i="1"/>
  <c r="C1351" i="1"/>
  <c r="D1351" i="1"/>
  <c r="E1351" i="1"/>
  <c r="F1351" i="1"/>
  <c r="G1351" i="1"/>
  <c r="H1351" i="1"/>
  <c r="I1351" i="1"/>
  <c r="J1351" i="1"/>
  <c r="K1351" i="1"/>
  <c r="L1351" i="1"/>
  <c r="M1351" i="1"/>
  <c r="N1351" i="1"/>
  <c r="O1351" i="1"/>
  <c r="P1351" i="1"/>
  <c r="Q1351" i="1"/>
  <c r="A1352" i="1"/>
  <c r="B1352" i="1"/>
  <c r="C1352" i="1"/>
  <c r="D1352" i="1"/>
  <c r="E1352" i="1"/>
  <c r="F1352" i="1"/>
  <c r="G1352" i="1"/>
  <c r="H1352" i="1"/>
  <c r="I1352" i="1"/>
  <c r="J1352" i="1"/>
  <c r="K1352" i="1"/>
  <c r="L1352" i="1"/>
  <c r="M1352" i="1"/>
  <c r="N1352" i="1"/>
  <c r="O1352" i="1"/>
  <c r="P1352" i="1"/>
  <c r="Q1352" i="1"/>
  <c r="A1353" i="1"/>
  <c r="B1353" i="1"/>
  <c r="C1353" i="1"/>
  <c r="D1353" i="1"/>
  <c r="E1353" i="1"/>
  <c r="F1353" i="1"/>
  <c r="G1353" i="1"/>
  <c r="H1353" i="1"/>
  <c r="I1353" i="1"/>
  <c r="J1353" i="1"/>
  <c r="K1353" i="1"/>
  <c r="L1353" i="1"/>
  <c r="M1353" i="1"/>
  <c r="N1353" i="1"/>
  <c r="O1353" i="1"/>
  <c r="P1353" i="1"/>
  <c r="Q1353" i="1"/>
  <c r="A1354" i="1"/>
  <c r="B1354" i="1"/>
  <c r="C1354" i="1"/>
  <c r="D1354" i="1"/>
  <c r="E1354" i="1"/>
  <c r="F1354" i="1"/>
  <c r="G1354" i="1"/>
  <c r="H1354" i="1"/>
  <c r="I1354" i="1"/>
  <c r="J1354" i="1"/>
  <c r="K1354" i="1"/>
  <c r="L1354" i="1"/>
  <c r="M1354" i="1"/>
  <c r="N1354" i="1"/>
  <c r="O1354" i="1"/>
  <c r="P1354" i="1"/>
  <c r="Q1354" i="1"/>
  <c r="A1355" i="1"/>
  <c r="B1355" i="1"/>
  <c r="C1355" i="1"/>
  <c r="D1355" i="1"/>
  <c r="E1355" i="1"/>
  <c r="F1355" i="1"/>
  <c r="G1355" i="1"/>
  <c r="H1355" i="1"/>
  <c r="I1355" i="1"/>
  <c r="J1355" i="1"/>
  <c r="K1355" i="1"/>
  <c r="L1355" i="1"/>
  <c r="M1355" i="1"/>
  <c r="N1355" i="1"/>
  <c r="O1355" i="1"/>
  <c r="P1355" i="1"/>
  <c r="Q1355" i="1"/>
  <c r="A1356" i="1"/>
  <c r="B1356" i="1"/>
  <c r="C1356" i="1"/>
  <c r="D1356" i="1"/>
  <c r="E1356" i="1"/>
  <c r="F1356" i="1"/>
  <c r="G1356" i="1"/>
  <c r="H1356" i="1"/>
  <c r="I1356" i="1"/>
  <c r="J1356" i="1"/>
  <c r="K1356" i="1"/>
  <c r="L1356" i="1"/>
  <c r="M1356" i="1"/>
  <c r="N1356" i="1"/>
  <c r="O1356" i="1"/>
  <c r="P1356" i="1"/>
  <c r="Q1356" i="1"/>
  <c r="A1357" i="1"/>
  <c r="B1357" i="1"/>
  <c r="C1357" i="1"/>
  <c r="D1357" i="1"/>
  <c r="E1357" i="1"/>
  <c r="F1357" i="1"/>
  <c r="G1357" i="1"/>
  <c r="H1357" i="1"/>
  <c r="I1357" i="1"/>
  <c r="J1357" i="1"/>
  <c r="K1357" i="1"/>
  <c r="L1357" i="1"/>
  <c r="M1357" i="1"/>
  <c r="N1357" i="1"/>
  <c r="O1357" i="1"/>
  <c r="P1357" i="1"/>
  <c r="Q1357" i="1"/>
  <c r="A1358" i="1"/>
  <c r="B1358" i="1"/>
  <c r="C1358" i="1"/>
  <c r="D1358" i="1"/>
  <c r="E1358" i="1"/>
  <c r="F1358" i="1"/>
  <c r="G1358" i="1"/>
  <c r="H1358" i="1"/>
  <c r="I1358" i="1"/>
  <c r="J1358" i="1"/>
  <c r="K1358" i="1"/>
  <c r="L1358" i="1"/>
  <c r="M1358" i="1"/>
  <c r="N1358" i="1"/>
  <c r="O1358" i="1"/>
  <c r="P1358" i="1"/>
  <c r="Q1358" i="1"/>
  <c r="A1359" i="1"/>
  <c r="B1359" i="1"/>
  <c r="C1359" i="1"/>
  <c r="D1359" i="1"/>
  <c r="E1359" i="1"/>
  <c r="F1359" i="1"/>
  <c r="G1359" i="1"/>
  <c r="H1359" i="1"/>
  <c r="I1359" i="1"/>
  <c r="J1359" i="1"/>
  <c r="K1359" i="1"/>
  <c r="L1359" i="1"/>
  <c r="M1359" i="1"/>
  <c r="N1359" i="1"/>
  <c r="O1359" i="1"/>
  <c r="P1359" i="1"/>
  <c r="Q1359" i="1"/>
  <c r="A1360" i="1"/>
  <c r="B1360" i="1"/>
  <c r="C1360" i="1"/>
  <c r="D1360" i="1"/>
  <c r="E1360" i="1"/>
  <c r="F1360" i="1"/>
  <c r="G1360" i="1"/>
  <c r="H1360" i="1"/>
  <c r="I1360" i="1"/>
  <c r="J1360" i="1"/>
  <c r="K1360" i="1"/>
  <c r="L1360" i="1"/>
  <c r="M1360" i="1"/>
  <c r="N1360" i="1"/>
  <c r="O1360" i="1"/>
  <c r="P1360" i="1"/>
  <c r="Q1360" i="1"/>
  <c r="A1361" i="1"/>
  <c r="B1361" i="1"/>
  <c r="C1361" i="1"/>
  <c r="D1361" i="1"/>
  <c r="E1361" i="1"/>
  <c r="F1361" i="1"/>
  <c r="G1361" i="1"/>
  <c r="H1361" i="1"/>
  <c r="I1361" i="1"/>
  <c r="J1361" i="1"/>
  <c r="K1361" i="1"/>
  <c r="L1361" i="1"/>
  <c r="M1361" i="1"/>
  <c r="N1361" i="1"/>
  <c r="O1361" i="1"/>
  <c r="P1361" i="1"/>
  <c r="Q1361" i="1"/>
  <c r="A1362" i="1"/>
  <c r="B1362" i="1"/>
  <c r="C1362" i="1"/>
  <c r="D1362" i="1"/>
  <c r="E1362" i="1"/>
  <c r="F1362" i="1"/>
  <c r="G1362" i="1"/>
  <c r="H1362" i="1"/>
  <c r="I1362" i="1"/>
  <c r="J1362" i="1"/>
  <c r="K1362" i="1"/>
  <c r="L1362" i="1"/>
  <c r="M1362" i="1"/>
  <c r="N1362" i="1"/>
  <c r="O1362" i="1"/>
  <c r="P1362" i="1"/>
  <c r="Q1362" i="1"/>
  <c r="A1363" i="1"/>
  <c r="B1363" i="1"/>
  <c r="C1363" i="1"/>
  <c r="D1363" i="1"/>
  <c r="E1363" i="1"/>
  <c r="F1363" i="1"/>
  <c r="G1363" i="1"/>
  <c r="H1363" i="1"/>
  <c r="I1363" i="1"/>
  <c r="J1363" i="1"/>
  <c r="K1363" i="1"/>
  <c r="L1363" i="1"/>
  <c r="M1363" i="1"/>
  <c r="N1363" i="1"/>
  <c r="O1363" i="1"/>
  <c r="P1363" i="1"/>
  <c r="Q1363" i="1"/>
  <c r="A1364" i="1"/>
  <c r="B1364" i="1"/>
  <c r="C1364" i="1"/>
  <c r="D1364" i="1"/>
  <c r="E1364" i="1"/>
  <c r="F1364" i="1"/>
  <c r="G1364" i="1"/>
  <c r="H1364" i="1"/>
  <c r="I1364" i="1"/>
  <c r="J1364" i="1"/>
  <c r="K1364" i="1"/>
  <c r="L1364" i="1"/>
  <c r="M1364" i="1"/>
  <c r="N1364" i="1"/>
  <c r="O1364" i="1"/>
  <c r="P1364" i="1"/>
  <c r="Q1364" i="1"/>
  <c r="A1365" i="1"/>
  <c r="B1365" i="1"/>
  <c r="C1365" i="1"/>
  <c r="D1365" i="1"/>
  <c r="E1365" i="1"/>
  <c r="F1365" i="1"/>
  <c r="G1365" i="1"/>
  <c r="H1365" i="1"/>
  <c r="I1365" i="1"/>
  <c r="J1365" i="1"/>
  <c r="K1365" i="1"/>
  <c r="L1365" i="1"/>
  <c r="M1365" i="1"/>
  <c r="N1365" i="1"/>
  <c r="O1365" i="1"/>
  <c r="P1365" i="1"/>
  <c r="Q1365" i="1"/>
  <c r="A1366" i="1"/>
  <c r="B1366" i="1"/>
  <c r="C1366" i="1"/>
  <c r="D1366" i="1"/>
  <c r="E1366" i="1"/>
  <c r="F1366" i="1"/>
  <c r="G1366" i="1"/>
  <c r="H1366" i="1"/>
  <c r="I1366" i="1"/>
  <c r="J1366" i="1"/>
  <c r="K1366" i="1"/>
  <c r="L1366" i="1"/>
  <c r="M1366" i="1"/>
  <c r="N1366" i="1"/>
  <c r="O1366" i="1"/>
  <c r="P1366" i="1"/>
  <c r="Q1366" i="1"/>
  <c r="A1367" i="1"/>
  <c r="B1367" i="1"/>
  <c r="C1367" i="1"/>
  <c r="D1367" i="1"/>
  <c r="E1367" i="1"/>
  <c r="F1367" i="1"/>
  <c r="G1367" i="1"/>
  <c r="H1367" i="1"/>
  <c r="I1367" i="1"/>
  <c r="J1367" i="1"/>
  <c r="K1367" i="1"/>
  <c r="L1367" i="1"/>
  <c r="M1367" i="1"/>
  <c r="N1367" i="1"/>
  <c r="O1367" i="1"/>
  <c r="P1367" i="1"/>
  <c r="Q1367" i="1"/>
  <c r="A1368" i="1"/>
  <c r="B1368" i="1"/>
  <c r="C1368" i="1"/>
  <c r="D1368" i="1"/>
  <c r="E1368" i="1"/>
  <c r="F1368" i="1"/>
  <c r="G1368" i="1"/>
  <c r="H1368" i="1"/>
  <c r="I1368" i="1"/>
  <c r="J1368" i="1"/>
  <c r="K1368" i="1"/>
  <c r="L1368" i="1"/>
  <c r="M1368" i="1"/>
  <c r="N1368" i="1"/>
  <c r="O1368" i="1"/>
  <c r="P1368" i="1"/>
  <c r="Q1368" i="1"/>
  <c r="A1369" i="1"/>
  <c r="B1369" i="1"/>
  <c r="C1369" i="1"/>
  <c r="D1369" i="1"/>
  <c r="E1369" i="1"/>
  <c r="F1369" i="1"/>
  <c r="G1369" i="1"/>
  <c r="H1369" i="1"/>
  <c r="I1369" i="1"/>
  <c r="J1369" i="1"/>
  <c r="K1369" i="1"/>
  <c r="L1369" i="1"/>
  <c r="M1369" i="1"/>
  <c r="N1369" i="1"/>
  <c r="O1369" i="1"/>
  <c r="P1369" i="1"/>
  <c r="Q1369" i="1"/>
  <c r="A1370" i="1"/>
  <c r="B1370" i="1"/>
  <c r="C1370" i="1"/>
  <c r="D1370" i="1"/>
  <c r="E1370" i="1"/>
  <c r="F1370" i="1"/>
  <c r="G1370" i="1"/>
  <c r="H1370" i="1"/>
  <c r="I1370" i="1"/>
  <c r="J1370" i="1"/>
  <c r="K1370" i="1"/>
  <c r="L1370" i="1"/>
  <c r="M1370" i="1"/>
  <c r="N1370" i="1"/>
  <c r="O1370" i="1"/>
  <c r="P1370" i="1"/>
  <c r="Q1370" i="1"/>
  <c r="A1371" i="1"/>
  <c r="B1371" i="1"/>
  <c r="C1371" i="1"/>
  <c r="D1371" i="1"/>
  <c r="E1371" i="1"/>
  <c r="F1371" i="1"/>
  <c r="G1371" i="1"/>
  <c r="H1371" i="1"/>
  <c r="I1371" i="1"/>
  <c r="J1371" i="1"/>
  <c r="K1371" i="1"/>
  <c r="L1371" i="1"/>
  <c r="M1371" i="1"/>
  <c r="N1371" i="1"/>
  <c r="O1371" i="1"/>
  <c r="P1371" i="1"/>
  <c r="Q1371" i="1"/>
  <c r="A1372" i="1"/>
  <c r="B1372" i="1"/>
  <c r="C1372" i="1"/>
  <c r="D1372" i="1"/>
  <c r="E1372" i="1"/>
  <c r="F1372" i="1"/>
  <c r="G1372" i="1"/>
  <c r="H1372" i="1"/>
  <c r="I1372" i="1"/>
  <c r="J1372" i="1"/>
  <c r="K1372" i="1"/>
  <c r="L1372" i="1"/>
  <c r="M1372" i="1"/>
  <c r="N1372" i="1"/>
  <c r="O1372" i="1"/>
  <c r="P1372" i="1"/>
  <c r="Q1372" i="1"/>
  <c r="A1373" i="1"/>
  <c r="B1373" i="1"/>
  <c r="C1373" i="1"/>
  <c r="D1373" i="1"/>
  <c r="E1373" i="1"/>
  <c r="F1373" i="1"/>
  <c r="G1373" i="1"/>
  <c r="H1373" i="1"/>
  <c r="I1373" i="1"/>
  <c r="J1373" i="1"/>
  <c r="K1373" i="1"/>
  <c r="L1373" i="1"/>
  <c r="M1373" i="1"/>
  <c r="N1373" i="1"/>
  <c r="O1373" i="1"/>
  <c r="P1373" i="1"/>
  <c r="Q1373" i="1"/>
  <c r="A1374" i="1"/>
  <c r="B1374" i="1"/>
  <c r="C1374" i="1"/>
  <c r="D1374" i="1"/>
  <c r="E1374" i="1"/>
  <c r="F1374" i="1"/>
  <c r="G1374" i="1"/>
  <c r="H1374" i="1"/>
  <c r="I1374" i="1"/>
  <c r="J1374" i="1"/>
  <c r="K1374" i="1"/>
  <c r="L1374" i="1"/>
  <c r="M1374" i="1"/>
  <c r="N1374" i="1"/>
  <c r="O1374" i="1"/>
  <c r="P1374" i="1"/>
  <c r="Q1374" i="1"/>
  <c r="A1375" i="1"/>
  <c r="B1375" i="1"/>
  <c r="C1375" i="1"/>
  <c r="D1375" i="1"/>
  <c r="E1375" i="1"/>
  <c r="F1375" i="1"/>
  <c r="G1375" i="1"/>
  <c r="H1375" i="1"/>
  <c r="I1375" i="1"/>
  <c r="J1375" i="1"/>
  <c r="K1375" i="1"/>
  <c r="L1375" i="1"/>
  <c r="M1375" i="1"/>
  <c r="N1375" i="1"/>
  <c r="O1375" i="1"/>
  <c r="P1375" i="1"/>
  <c r="Q1375" i="1"/>
  <c r="A1376" i="1"/>
  <c r="B1376" i="1"/>
  <c r="C1376" i="1"/>
  <c r="D1376" i="1"/>
  <c r="E1376" i="1"/>
  <c r="F1376" i="1"/>
  <c r="G1376" i="1"/>
  <c r="H1376" i="1"/>
  <c r="I1376" i="1"/>
  <c r="J1376" i="1"/>
  <c r="K1376" i="1"/>
  <c r="L1376" i="1"/>
  <c r="M1376" i="1"/>
  <c r="N1376" i="1"/>
  <c r="O1376" i="1"/>
  <c r="P1376" i="1"/>
  <c r="Q1376" i="1"/>
  <c r="A1377" i="1"/>
  <c r="B1377" i="1"/>
  <c r="C1377" i="1"/>
  <c r="D1377" i="1"/>
  <c r="E1377" i="1"/>
  <c r="F1377" i="1"/>
  <c r="G1377" i="1"/>
  <c r="H1377" i="1"/>
  <c r="I1377" i="1"/>
  <c r="J1377" i="1"/>
  <c r="K1377" i="1"/>
  <c r="L1377" i="1"/>
  <c r="M1377" i="1"/>
  <c r="N1377" i="1"/>
  <c r="O1377" i="1"/>
  <c r="P1377" i="1"/>
  <c r="Q1377" i="1"/>
  <c r="A1378" i="1"/>
  <c r="B1378" i="1"/>
  <c r="C1378" i="1"/>
  <c r="D1378" i="1"/>
  <c r="E1378" i="1"/>
  <c r="F1378" i="1"/>
  <c r="G1378" i="1"/>
  <c r="H1378" i="1"/>
  <c r="I1378" i="1"/>
  <c r="J1378" i="1"/>
  <c r="K1378" i="1"/>
  <c r="L1378" i="1"/>
  <c r="M1378" i="1"/>
  <c r="N1378" i="1"/>
  <c r="O1378" i="1"/>
  <c r="P1378" i="1"/>
  <c r="Q1378" i="1"/>
  <c r="A1379" i="1"/>
  <c r="B1379" i="1"/>
  <c r="C1379" i="1"/>
  <c r="D1379" i="1"/>
  <c r="E1379" i="1"/>
  <c r="F1379" i="1"/>
  <c r="G1379" i="1"/>
  <c r="H1379" i="1"/>
  <c r="I1379" i="1"/>
  <c r="J1379" i="1"/>
  <c r="K1379" i="1"/>
  <c r="L1379" i="1"/>
  <c r="M1379" i="1"/>
  <c r="N1379" i="1"/>
  <c r="O1379" i="1"/>
  <c r="P1379" i="1"/>
  <c r="Q1379" i="1"/>
  <c r="A1380" i="1"/>
  <c r="B1380" i="1"/>
  <c r="C1380" i="1"/>
  <c r="D1380" i="1"/>
  <c r="E1380" i="1"/>
  <c r="F1380" i="1"/>
  <c r="G1380" i="1"/>
  <c r="H1380" i="1"/>
  <c r="I1380" i="1"/>
  <c r="J1380" i="1"/>
  <c r="K1380" i="1"/>
  <c r="L1380" i="1"/>
  <c r="M1380" i="1"/>
  <c r="N1380" i="1"/>
  <c r="O1380" i="1"/>
  <c r="P1380" i="1"/>
  <c r="Q1380" i="1"/>
  <c r="A1381" i="1"/>
  <c r="B1381" i="1"/>
  <c r="C1381" i="1"/>
  <c r="D1381" i="1"/>
  <c r="E1381" i="1"/>
  <c r="F1381" i="1"/>
  <c r="G1381" i="1"/>
  <c r="H1381" i="1"/>
  <c r="I1381" i="1"/>
  <c r="J1381" i="1"/>
  <c r="K1381" i="1"/>
  <c r="L1381" i="1"/>
  <c r="M1381" i="1"/>
  <c r="N1381" i="1"/>
  <c r="O1381" i="1"/>
  <c r="P1381" i="1"/>
  <c r="Q1381" i="1"/>
  <c r="A1382" i="1"/>
  <c r="B1382" i="1"/>
  <c r="C1382" i="1"/>
  <c r="D1382" i="1"/>
  <c r="E1382" i="1"/>
  <c r="F1382" i="1"/>
  <c r="G1382" i="1"/>
  <c r="H1382" i="1"/>
  <c r="I1382" i="1"/>
  <c r="J1382" i="1"/>
  <c r="K1382" i="1"/>
  <c r="L1382" i="1"/>
  <c r="M1382" i="1"/>
  <c r="N1382" i="1"/>
  <c r="O1382" i="1"/>
  <c r="P1382" i="1"/>
  <c r="Q1382" i="1"/>
  <c r="A1383" i="1"/>
  <c r="B1383" i="1"/>
  <c r="C1383" i="1"/>
  <c r="D1383" i="1"/>
  <c r="E1383" i="1"/>
  <c r="F1383" i="1"/>
  <c r="G1383" i="1"/>
  <c r="H1383" i="1"/>
  <c r="I1383" i="1"/>
  <c r="J1383" i="1"/>
  <c r="K1383" i="1"/>
  <c r="L1383" i="1"/>
  <c r="M1383" i="1"/>
  <c r="N1383" i="1"/>
  <c r="O1383" i="1"/>
  <c r="P1383" i="1"/>
  <c r="Q1383" i="1"/>
  <c r="A1384" i="1"/>
  <c r="B1384" i="1"/>
  <c r="C1384" i="1"/>
  <c r="D1384" i="1"/>
  <c r="E1384" i="1"/>
  <c r="F1384" i="1"/>
  <c r="G1384" i="1"/>
  <c r="H1384" i="1"/>
  <c r="I1384" i="1"/>
  <c r="J1384" i="1"/>
  <c r="K1384" i="1"/>
  <c r="L1384" i="1"/>
  <c r="M1384" i="1"/>
  <c r="N1384" i="1"/>
  <c r="O1384" i="1"/>
  <c r="P1384" i="1"/>
  <c r="Q1384" i="1"/>
  <c r="A1385" i="1"/>
  <c r="B1385" i="1"/>
  <c r="C1385" i="1"/>
  <c r="D1385" i="1"/>
  <c r="E1385" i="1"/>
  <c r="F1385" i="1"/>
  <c r="G1385" i="1"/>
  <c r="H1385" i="1"/>
  <c r="I1385" i="1"/>
  <c r="J1385" i="1"/>
  <c r="K1385" i="1"/>
  <c r="L1385" i="1"/>
  <c r="M1385" i="1"/>
  <c r="N1385" i="1"/>
  <c r="O1385" i="1"/>
  <c r="P1385" i="1"/>
  <c r="Q1385" i="1"/>
  <c r="A1386" i="1"/>
  <c r="B1386" i="1"/>
  <c r="C1386" i="1"/>
  <c r="E1386" i="1"/>
  <c r="F1386" i="1"/>
  <c r="G1386" i="1"/>
  <c r="H1386" i="1"/>
  <c r="I1386" i="1"/>
  <c r="J1386" i="1"/>
  <c r="K1386" i="1"/>
  <c r="L1386" i="1"/>
  <c r="M1386" i="1"/>
  <c r="N1386" i="1"/>
  <c r="O1386" i="1"/>
  <c r="P1386" i="1"/>
  <c r="Q1386" i="1"/>
  <c r="A1387" i="1"/>
  <c r="B1387" i="1"/>
  <c r="C1387" i="1"/>
  <c r="D1387" i="1"/>
  <c r="E1387" i="1"/>
  <c r="F1387" i="1"/>
  <c r="G1387" i="1"/>
  <c r="H1387" i="1"/>
  <c r="I1387" i="1"/>
  <c r="J1387" i="1"/>
  <c r="K1387" i="1"/>
  <c r="L1387" i="1"/>
  <c r="M1387" i="1"/>
  <c r="N1387" i="1"/>
  <c r="O1387" i="1"/>
  <c r="P1387" i="1"/>
  <c r="Q1387" i="1"/>
  <c r="A1388" i="1"/>
  <c r="B1388" i="1"/>
  <c r="C1388" i="1"/>
  <c r="D1388" i="1"/>
  <c r="E1388" i="1"/>
  <c r="F1388" i="1"/>
  <c r="G1388" i="1"/>
  <c r="H1388" i="1"/>
  <c r="I1388" i="1"/>
  <c r="J1388" i="1"/>
  <c r="K1388" i="1"/>
  <c r="L1388" i="1"/>
  <c r="M1388" i="1"/>
  <c r="N1388" i="1"/>
  <c r="O1388" i="1"/>
  <c r="P1388" i="1"/>
  <c r="Q1388" i="1"/>
  <c r="A1389" i="1"/>
  <c r="B1389" i="1"/>
  <c r="C1389" i="1"/>
  <c r="D1389" i="1"/>
  <c r="E1389" i="1"/>
  <c r="F1389" i="1"/>
  <c r="G1389" i="1"/>
  <c r="H1389" i="1"/>
  <c r="I1389" i="1"/>
  <c r="J1389" i="1"/>
  <c r="K1389" i="1"/>
  <c r="L1389" i="1"/>
  <c r="M1389" i="1"/>
  <c r="N1389" i="1"/>
  <c r="O1389" i="1"/>
  <c r="P1389" i="1"/>
  <c r="Q1389" i="1"/>
  <c r="A1390" i="1"/>
  <c r="B1390" i="1"/>
  <c r="C1390" i="1"/>
  <c r="D1390" i="1"/>
  <c r="E1390" i="1"/>
  <c r="F1390" i="1"/>
  <c r="G1390" i="1"/>
  <c r="H1390" i="1"/>
  <c r="I1390" i="1"/>
  <c r="J1390" i="1"/>
  <c r="K1390" i="1"/>
  <c r="L1390" i="1"/>
  <c r="M1390" i="1"/>
  <c r="N1390" i="1"/>
  <c r="O1390" i="1"/>
  <c r="P1390" i="1"/>
  <c r="Q1390" i="1"/>
  <c r="A1391" i="1"/>
  <c r="B1391" i="1"/>
  <c r="C1391" i="1"/>
  <c r="D1391" i="1"/>
  <c r="E1391" i="1"/>
  <c r="F1391" i="1"/>
  <c r="G1391" i="1"/>
  <c r="H1391" i="1"/>
  <c r="I1391" i="1"/>
  <c r="J1391" i="1"/>
  <c r="K1391" i="1"/>
  <c r="L1391" i="1"/>
  <c r="M1391" i="1"/>
  <c r="N1391" i="1"/>
  <c r="O1391" i="1"/>
  <c r="P1391" i="1"/>
  <c r="Q1391" i="1"/>
  <c r="A1392" i="1"/>
  <c r="B1392" i="1"/>
  <c r="C1392" i="1"/>
  <c r="D1392" i="1"/>
  <c r="E1392" i="1"/>
  <c r="F1392" i="1"/>
  <c r="G1392" i="1"/>
  <c r="H1392" i="1"/>
  <c r="I1392" i="1"/>
  <c r="J1392" i="1"/>
  <c r="K1392" i="1"/>
  <c r="L1392" i="1"/>
  <c r="M1392" i="1"/>
  <c r="N1392" i="1"/>
  <c r="O1392" i="1"/>
  <c r="P1392" i="1"/>
  <c r="Q1392" i="1"/>
  <c r="A1393" i="1"/>
  <c r="B1393" i="1"/>
  <c r="C1393" i="1"/>
  <c r="D1393" i="1"/>
  <c r="E1393" i="1"/>
  <c r="F1393" i="1"/>
  <c r="G1393" i="1"/>
  <c r="H1393" i="1"/>
  <c r="I1393" i="1"/>
  <c r="J1393" i="1"/>
  <c r="K1393" i="1"/>
  <c r="L1393" i="1"/>
  <c r="M1393" i="1"/>
  <c r="N1393" i="1"/>
  <c r="O1393" i="1"/>
  <c r="P1393" i="1"/>
  <c r="Q1393" i="1"/>
  <c r="A1394" i="1"/>
  <c r="B1394" i="1"/>
  <c r="C1394" i="1"/>
  <c r="D1394" i="1"/>
  <c r="E1394" i="1"/>
  <c r="F1394" i="1"/>
  <c r="G1394" i="1"/>
  <c r="H1394" i="1"/>
  <c r="I1394" i="1"/>
  <c r="J1394" i="1"/>
  <c r="K1394" i="1"/>
  <c r="L1394" i="1"/>
  <c r="M1394" i="1"/>
  <c r="N1394" i="1"/>
  <c r="O1394" i="1"/>
  <c r="P1394" i="1"/>
  <c r="Q1394" i="1"/>
  <c r="A1395" i="1"/>
  <c r="B1395" i="1"/>
  <c r="C1395" i="1"/>
  <c r="D1395" i="1"/>
  <c r="E1395" i="1"/>
  <c r="F1395" i="1"/>
  <c r="G1395" i="1"/>
  <c r="H1395" i="1"/>
  <c r="I1395" i="1"/>
  <c r="J1395" i="1"/>
  <c r="K1395" i="1"/>
  <c r="L1395" i="1"/>
  <c r="M1395" i="1"/>
  <c r="N1395" i="1"/>
  <c r="O1395" i="1"/>
  <c r="P1395" i="1"/>
  <c r="Q1395" i="1"/>
  <c r="A1396" i="1"/>
  <c r="B1396" i="1"/>
  <c r="C1396" i="1"/>
  <c r="E1396" i="1"/>
  <c r="F1396" i="1"/>
  <c r="G1396" i="1"/>
  <c r="H1396" i="1"/>
  <c r="I1396" i="1"/>
  <c r="J1396" i="1"/>
  <c r="K1396" i="1"/>
  <c r="L1396" i="1"/>
  <c r="M1396" i="1"/>
  <c r="N1396" i="1"/>
  <c r="O1396" i="1"/>
  <c r="P1396" i="1"/>
  <c r="Q1396" i="1"/>
  <c r="A1397" i="1"/>
  <c r="B1397" i="1"/>
  <c r="C1397" i="1"/>
  <c r="D1397" i="1"/>
  <c r="E1397" i="1"/>
  <c r="F1397" i="1"/>
  <c r="G1397" i="1"/>
  <c r="H1397" i="1"/>
  <c r="I1397" i="1"/>
  <c r="J1397" i="1"/>
  <c r="K1397" i="1"/>
  <c r="L1397" i="1"/>
  <c r="M1397" i="1"/>
  <c r="N1397" i="1"/>
  <c r="O1397" i="1"/>
  <c r="P1397" i="1"/>
  <c r="Q1397" i="1"/>
  <c r="A1398" i="1"/>
  <c r="B1398" i="1"/>
  <c r="C1398" i="1"/>
  <c r="E1398" i="1"/>
  <c r="F1398" i="1"/>
  <c r="G1398" i="1"/>
  <c r="H1398" i="1"/>
  <c r="I1398" i="1"/>
  <c r="J1398" i="1"/>
  <c r="K1398" i="1"/>
  <c r="L1398" i="1"/>
  <c r="M1398" i="1"/>
  <c r="N1398" i="1"/>
  <c r="O1398" i="1"/>
  <c r="P1398" i="1"/>
  <c r="Q1398" i="1"/>
  <c r="A1399" i="1"/>
  <c r="B1399" i="1"/>
  <c r="C1399" i="1"/>
  <c r="D1399" i="1"/>
  <c r="E1399" i="1"/>
  <c r="F1399" i="1"/>
  <c r="G1399" i="1"/>
  <c r="H1399" i="1"/>
  <c r="I1399" i="1"/>
  <c r="J1399" i="1"/>
  <c r="K1399" i="1"/>
  <c r="L1399" i="1"/>
  <c r="M1399" i="1"/>
  <c r="N1399" i="1"/>
  <c r="O1399" i="1"/>
  <c r="P1399" i="1"/>
  <c r="Q1399" i="1"/>
  <c r="A1400" i="1"/>
  <c r="B1400" i="1"/>
  <c r="C1400" i="1"/>
  <c r="D1400" i="1"/>
  <c r="E1400" i="1"/>
  <c r="F1400" i="1"/>
  <c r="G1400" i="1"/>
  <c r="H1400" i="1"/>
  <c r="I1400" i="1"/>
  <c r="J1400" i="1"/>
  <c r="K1400" i="1"/>
  <c r="L1400" i="1"/>
  <c r="M1400" i="1"/>
  <c r="N1400" i="1"/>
  <c r="O1400" i="1"/>
  <c r="P1400" i="1"/>
  <c r="Q1400" i="1"/>
  <c r="A1401" i="1"/>
  <c r="B1401" i="1"/>
  <c r="C1401" i="1"/>
  <c r="D1401" i="1"/>
  <c r="E1401" i="1"/>
  <c r="F1401" i="1"/>
  <c r="G1401" i="1"/>
  <c r="H1401" i="1"/>
  <c r="I1401" i="1"/>
  <c r="J1401" i="1"/>
  <c r="K1401" i="1"/>
  <c r="L1401" i="1"/>
  <c r="M1401" i="1"/>
  <c r="N1401" i="1"/>
  <c r="O1401" i="1"/>
  <c r="P1401" i="1"/>
  <c r="Q1401" i="1"/>
  <c r="A1402" i="1"/>
  <c r="B1402" i="1"/>
  <c r="C1402" i="1"/>
  <c r="D1402" i="1"/>
  <c r="E1402" i="1"/>
  <c r="F1402" i="1"/>
  <c r="G1402" i="1"/>
  <c r="H1402" i="1"/>
  <c r="I1402" i="1"/>
  <c r="J1402" i="1"/>
  <c r="K1402" i="1"/>
  <c r="L1402" i="1"/>
  <c r="M1402" i="1"/>
  <c r="N1402" i="1"/>
  <c r="O1402" i="1"/>
  <c r="P1402" i="1"/>
  <c r="Q1402" i="1"/>
  <c r="A1403" i="1"/>
  <c r="B1403" i="1"/>
  <c r="C1403" i="1"/>
  <c r="D1403" i="1"/>
  <c r="E1403" i="1"/>
  <c r="F1403" i="1"/>
  <c r="G1403" i="1"/>
  <c r="H1403" i="1"/>
  <c r="I1403" i="1"/>
  <c r="J1403" i="1"/>
  <c r="K1403" i="1"/>
  <c r="L1403" i="1"/>
  <c r="M1403" i="1"/>
  <c r="N1403" i="1"/>
  <c r="O1403" i="1"/>
  <c r="P1403" i="1"/>
  <c r="Q1403" i="1"/>
  <c r="A1404" i="1"/>
  <c r="B1404" i="1"/>
  <c r="C1404" i="1"/>
  <c r="D1404" i="1"/>
  <c r="E1404" i="1"/>
  <c r="F1404" i="1"/>
  <c r="G1404" i="1"/>
  <c r="H1404" i="1"/>
  <c r="I1404" i="1"/>
  <c r="J1404" i="1"/>
  <c r="K1404" i="1"/>
  <c r="L1404" i="1"/>
  <c r="M1404" i="1"/>
  <c r="N1404" i="1"/>
  <c r="O1404" i="1"/>
  <c r="P1404" i="1"/>
  <c r="Q1404" i="1"/>
  <c r="A1405" i="1"/>
  <c r="B1405" i="1"/>
  <c r="C1405" i="1"/>
  <c r="D1405" i="1"/>
  <c r="E1405" i="1"/>
  <c r="F1405" i="1"/>
  <c r="G1405" i="1"/>
  <c r="H1405" i="1"/>
  <c r="I1405" i="1"/>
  <c r="J1405" i="1"/>
  <c r="K1405" i="1"/>
  <c r="L1405" i="1"/>
  <c r="M1405" i="1"/>
  <c r="N1405" i="1"/>
  <c r="O1405" i="1"/>
  <c r="P1405" i="1"/>
  <c r="Q1405" i="1"/>
  <c r="A1406" i="1"/>
  <c r="B1406" i="1"/>
  <c r="C1406" i="1"/>
  <c r="D1406" i="1"/>
  <c r="E1406" i="1"/>
  <c r="F1406" i="1"/>
  <c r="G1406" i="1"/>
  <c r="H1406" i="1"/>
  <c r="I1406" i="1"/>
  <c r="J1406" i="1"/>
  <c r="K1406" i="1"/>
  <c r="L1406" i="1"/>
  <c r="M1406" i="1"/>
  <c r="N1406" i="1"/>
  <c r="O1406" i="1"/>
  <c r="P1406" i="1"/>
  <c r="Q1406" i="1"/>
  <c r="A1407" i="1"/>
  <c r="B1407" i="1"/>
  <c r="C1407" i="1"/>
  <c r="D1407" i="1"/>
  <c r="E1407" i="1"/>
  <c r="F1407" i="1"/>
  <c r="G1407" i="1"/>
  <c r="H1407" i="1"/>
  <c r="I1407" i="1"/>
  <c r="J1407" i="1"/>
  <c r="K1407" i="1"/>
  <c r="L1407" i="1"/>
  <c r="M1407" i="1"/>
  <c r="N1407" i="1"/>
  <c r="O1407" i="1"/>
  <c r="P1407" i="1"/>
  <c r="Q1407" i="1"/>
  <c r="A1408" i="1"/>
  <c r="B1408" i="1"/>
  <c r="C1408" i="1"/>
  <c r="D1408" i="1"/>
  <c r="E1408" i="1"/>
  <c r="F1408" i="1"/>
  <c r="G1408" i="1"/>
  <c r="H1408" i="1"/>
  <c r="I1408" i="1"/>
  <c r="J1408" i="1"/>
  <c r="K1408" i="1"/>
  <c r="L1408" i="1"/>
  <c r="M1408" i="1"/>
  <c r="N1408" i="1"/>
  <c r="O1408" i="1"/>
  <c r="P1408" i="1"/>
  <c r="Q1408" i="1"/>
  <c r="A1409" i="1"/>
  <c r="B1409" i="1"/>
  <c r="C1409" i="1"/>
  <c r="D1409" i="1"/>
  <c r="E1409" i="1"/>
  <c r="F1409" i="1"/>
  <c r="G1409" i="1"/>
  <c r="H1409" i="1"/>
  <c r="I1409" i="1"/>
  <c r="J1409" i="1"/>
  <c r="K1409" i="1"/>
  <c r="L1409" i="1"/>
  <c r="M1409" i="1"/>
  <c r="N1409" i="1"/>
  <c r="O1409" i="1"/>
  <c r="P1409" i="1"/>
  <c r="Q1409" i="1"/>
  <c r="A1410" i="1"/>
  <c r="B1410" i="1"/>
  <c r="C1410" i="1"/>
  <c r="D1410" i="1"/>
  <c r="E1410" i="1"/>
  <c r="F1410" i="1"/>
  <c r="G1410" i="1"/>
  <c r="H1410" i="1"/>
  <c r="I1410" i="1"/>
  <c r="J1410" i="1"/>
  <c r="K1410" i="1"/>
  <c r="L1410" i="1"/>
  <c r="M1410" i="1"/>
  <c r="N1410" i="1"/>
  <c r="O1410" i="1"/>
  <c r="P1410" i="1"/>
  <c r="Q1410" i="1"/>
  <c r="A1411" i="1"/>
  <c r="B1411" i="1"/>
  <c r="C1411" i="1"/>
  <c r="D1411" i="1"/>
  <c r="E1411" i="1"/>
  <c r="F1411" i="1"/>
  <c r="G1411" i="1"/>
  <c r="H1411" i="1"/>
  <c r="I1411" i="1"/>
  <c r="J1411" i="1"/>
  <c r="K1411" i="1"/>
  <c r="L1411" i="1"/>
  <c r="M1411" i="1"/>
  <c r="N1411" i="1"/>
  <c r="O1411" i="1"/>
  <c r="P1411" i="1"/>
  <c r="Q1411" i="1"/>
  <c r="A1412" i="1"/>
  <c r="B1412" i="1"/>
  <c r="C1412" i="1"/>
  <c r="D1412" i="1"/>
  <c r="E1412" i="1"/>
  <c r="F1412" i="1"/>
  <c r="G1412" i="1"/>
  <c r="H1412" i="1"/>
  <c r="I1412" i="1"/>
  <c r="J1412" i="1"/>
  <c r="K1412" i="1"/>
  <c r="L1412" i="1"/>
  <c r="M1412" i="1"/>
  <c r="N1412" i="1"/>
  <c r="O1412" i="1"/>
  <c r="P1412" i="1"/>
  <c r="Q1412" i="1"/>
  <c r="A1413" i="1"/>
  <c r="B1413" i="1"/>
  <c r="C1413" i="1"/>
  <c r="D1413" i="1"/>
  <c r="E1413" i="1"/>
  <c r="F1413" i="1"/>
  <c r="G1413" i="1"/>
  <c r="H1413" i="1"/>
  <c r="I1413" i="1"/>
  <c r="J1413" i="1"/>
  <c r="K1413" i="1"/>
  <c r="L1413" i="1"/>
  <c r="M1413" i="1"/>
  <c r="N1413" i="1"/>
  <c r="O1413" i="1"/>
  <c r="P1413" i="1"/>
  <c r="Q1413" i="1"/>
  <c r="A1414" i="1"/>
  <c r="B1414" i="1"/>
  <c r="C1414" i="1"/>
  <c r="E1414" i="1"/>
  <c r="F1414" i="1"/>
  <c r="G1414" i="1"/>
  <c r="H1414" i="1"/>
  <c r="I1414" i="1"/>
  <c r="J1414" i="1"/>
  <c r="K1414" i="1"/>
  <c r="L1414" i="1"/>
  <c r="M1414" i="1"/>
  <c r="N1414" i="1"/>
  <c r="O1414" i="1"/>
  <c r="P1414" i="1"/>
  <c r="Q1414" i="1"/>
  <c r="A1415" i="1"/>
  <c r="B1415" i="1"/>
  <c r="C1415" i="1"/>
  <c r="D1415" i="1"/>
  <c r="E1415" i="1"/>
  <c r="F1415" i="1"/>
  <c r="G1415" i="1"/>
  <c r="H1415" i="1"/>
  <c r="I1415" i="1"/>
  <c r="J1415" i="1"/>
  <c r="K1415" i="1"/>
  <c r="L1415" i="1"/>
  <c r="M1415" i="1"/>
  <c r="N1415" i="1"/>
  <c r="O1415" i="1"/>
  <c r="P1415" i="1"/>
  <c r="Q1415" i="1"/>
  <c r="A1416" i="1"/>
  <c r="B1416" i="1"/>
  <c r="C1416" i="1"/>
  <c r="D1416" i="1"/>
  <c r="E1416" i="1"/>
  <c r="F1416" i="1"/>
  <c r="G1416" i="1"/>
  <c r="H1416" i="1"/>
  <c r="I1416" i="1"/>
  <c r="J1416" i="1"/>
  <c r="K1416" i="1"/>
  <c r="L1416" i="1"/>
  <c r="M1416" i="1"/>
  <c r="N1416" i="1"/>
  <c r="O1416" i="1"/>
  <c r="P1416" i="1"/>
  <c r="Q1416" i="1"/>
  <c r="A1417" i="1"/>
  <c r="B1417" i="1"/>
  <c r="C1417" i="1"/>
  <c r="E1417" i="1"/>
  <c r="F1417" i="1"/>
  <c r="G1417" i="1"/>
  <c r="H1417" i="1"/>
  <c r="I1417" i="1"/>
  <c r="J1417" i="1"/>
  <c r="K1417" i="1"/>
  <c r="L1417" i="1"/>
  <c r="M1417" i="1"/>
  <c r="N1417" i="1"/>
  <c r="O1417" i="1"/>
  <c r="P1417" i="1"/>
  <c r="Q1417" i="1"/>
  <c r="A1418" i="1"/>
  <c r="B1418" i="1"/>
  <c r="C1418" i="1"/>
  <c r="E1418" i="1"/>
  <c r="F1418" i="1"/>
  <c r="G1418" i="1"/>
  <c r="H1418" i="1"/>
  <c r="I1418" i="1"/>
  <c r="J1418" i="1"/>
  <c r="K1418" i="1"/>
  <c r="L1418" i="1"/>
  <c r="M1418" i="1"/>
  <c r="N1418" i="1"/>
  <c r="O1418" i="1"/>
  <c r="P1418" i="1"/>
  <c r="Q1418" i="1"/>
  <c r="A1419" i="1"/>
  <c r="B1419" i="1"/>
  <c r="C1419" i="1"/>
  <c r="D1419" i="1"/>
  <c r="E1419" i="1"/>
  <c r="F1419" i="1"/>
  <c r="G1419" i="1"/>
  <c r="H1419" i="1"/>
  <c r="I1419" i="1"/>
  <c r="J1419" i="1"/>
  <c r="K1419" i="1"/>
  <c r="L1419" i="1"/>
  <c r="M1419" i="1"/>
  <c r="N1419" i="1"/>
  <c r="O1419" i="1"/>
  <c r="P1419" i="1"/>
  <c r="Q1419" i="1"/>
  <c r="A1420" i="1"/>
  <c r="B1420" i="1"/>
  <c r="C1420" i="1"/>
  <c r="D1420" i="1"/>
  <c r="E1420" i="1"/>
  <c r="F1420" i="1"/>
  <c r="G1420" i="1"/>
  <c r="H1420" i="1"/>
  <c r="I1420" i="1"/>
  <c r="J1420" i="1"/>
  <c r="K1420" i="1"/>
  <c r="L1420" i="1"/>
  <c r="M1420" i="1"/>
  <c r="N1420" i="1"/>
  <c r="O1420" i="1"/>
  <c r="P1420" i="1"/>
  <c r="Q1420" i="1"/>
  <c r="A1421" i="1"/>
  <c r="B1421" i="1"/>
  <c r="C1421" i="1"/>
  <c r="D1421" i="1"/>
  <c r="E1421" i="1"/>
  <c r="F1421" i="1"/>
  <c r="G1421" i="1"/>
  <c r="H1421" i="1"/>
  <c r="I1421" i="1"/>
  <c r="J1421" i="1"/>
  <c r="K1421" i="1"/>
  <c r="L1421" i="1"/>
  <c r="M1421" i="1"/>
  <c r="N1421" i="1"/>
  <c r="O1421" i="1"/>
  <c r="P1421" i="1"/>
  <c r="Q1421" i="1"/>
  <c r="A1422" i="1"/>
  <c r="B1422" i="1"/>
  <c r="C1422" i="1"/>
  <c r="D1422" i="1"/>
  <c r="E1422" i="1"/>
  <c r="F1422" i="1"/>
  <c r="G1422" i="1"/>
  <c r="H1422" i="1"/>
  <c r="I1422" i="1"/>
  <c r="J1422" i="1"/>
  <c r="K1422" i="1"/>
  <c r="L1422" i="1"/>
  <c r="M1422" i="1"/>
  <c r="N1422" i="1"/>
  <c r="O1422" i="1"/>
  <c r="P1422" i="1"/>
  <c r="Q1422" i="1"/>
  <c r="A1423" i="1"/>
  <c r="B1423" i="1"/>
  <c r="C1423" i="1"/>
  <c r="D1423" i="1"/>
  <c r="E1423" i="1"/>
  <c r="F1423" i="1"/>
  <c r="G1423" i="1"/>
  <c r="H1423" i="1"/>
  <c r="I1423" i="1"/>
  <c r="J1423" i="1"/>
  <c r="K1423" i="1"/>
  <c r="L1423" i="1"/>
  <c r="M1423" i="1"/>
  <c r="N1423" i="1"/>
  <c r="O1423" i="1"/>
  <c r="P1423" i="1"/>
  <c r="Q1423" i="1"/>
  <c r="A1424" i="1"/>
  <c r="B1424" i="1"/>
  <c r="C1424" i="1"/>
  <c r="D1424" i="1"/>
  <c r="E1424" i="1"/>
  <c r="F1424" i="1"/>
  <c r="G1424" i="1"/>
  <c r="H1424" i="1"/>
  <c r="I1424" i="1"/>
  <c r="J1424" i="1"/>
  <c r="K1424" i="1"/>
  <c r="L1424" i="1"/>
  <c r="M1424" i="1"/>
  <c r="N1424" i="1"/>
  <c r="O1424" i="1"/>
  <c r="P1424" i="1"/>
  <c r="Q1424" i="1"/>
  <c r="A1425" i="1"/>
  <c r="B1425" i="1"/>
  <c r="C1425" i="1"/>
  <c r="D1425" i="1"/>
  <c r="E1425" i="1"/>
  <c r="F1425" i="1"/>
  <c r="G1425" i="1"/>
  <c r="H1425" i="1"/>
  <c r="I1425" i="1"/>
  <c r="J1425" i="1"/>
  <c r="K1425" i="1"/>
  <c r="L1425" i="1"/>
  <c r="M1425" i="1"/>
  <c r="N1425" i="1"/>
  <c r="O1425" i="1"/>
  <c r="P1425" i="1"/>
  <c r="Q1425" i="1"/>
  <c r="A1426" i="1"/>
  <c r="B1426" i="1"/>
  <c r="C1426" i="1"/>
  <c r="E1426" i="1"/>
  <c r="F1426" i="1"/>
  <c r="G1426" i="1"/>
  <c r="H1426" i="1"/>
  <c r="I1426" i="1"/>
  <c r="J1426" i="1"/>
  <c r="K1426" i="1"/>
  <c r="L1426" i="1"/>
  <c r="M1426" i="1"/>
  <c r="N1426" i="1"/>
  <c r="O1426" i="1"/>
  <c r="P1426" i="1"/>
  <c r="Q1426" i="1"/>
  <c r="A1427" i="1"/>
  <c r="B1427" i="1"/>
  <c r="C1427" i="1"/>
  <c r="D1427" i="1"/>
  <c r="E1427" i="1"/>
  <c r="F1427" i="1"/>
  <c r="G1427" i="1"/>
  <c r="H1427" i="1"/>
  <c r="I1427" i="1"/>
  <c r="J1427" i="1"/>
  <c r="K1427" i="1"/>
  <c r="L1427" i="1"/>
  <c r="M1427" i="1"/>
  <c r="N1427" i="1"/>
  <c r="O1427" i="1"/>
  <c r="P1427" i="1"/>
  <c r="Q1427" i="1"/>
  <c r="A1428" i="1"/>
  <c r="B1428" i="1"/>
  <c r="C1428" i="1"/>
  <c r="E1428" i="1"/>
  <c r="F1428" i="1"/>
  <c r="G1428" i="1"/>
  <c r="H1428" i="1"/>
  <c r="I1428" i="1"/>
  <c r="J1428" i="1"/>
  <c r="K1428" i="1"/>
  <c r="L1428" i="1"/>
  <c r="M1428" i="1"/>
  <c r="N1428" i="1"/>
  <c r="O1428" i="1"/>
  <c r="P1428" i="1"/>
  <c r="Q1428" i="1"/>
  <c r="A1429" i="1"/>
  <c r="B1429" i="1"/>
  <c r="C1429" i="1"/>
  <c r="D1429" i="1"/>
  <c r="E1429" i="1"/>
  <c r="F1429" i="1"/>
  <c r="G1429" i="1"/>
  <c r="H1429" i="1"/>
  <c r="I1429" i="1"/>
  <c r="J1429" i="1"/>
  <c r="K1429" i="1"/>
  <c r="L1429" i="1"/>
  <c r="M1429" i="1"/>
  <c r="N1429" i="1"/>
  <c r="O1429" i="1"/>
  <c r="P1429" i="1"/>
  <c r="Q1429" i="1"/>
  <c r="A1430" i="1"/>
  <c r="B1430" i="1"/>
  <c r="C1430" i="1"/>
  <c r="E1430" i="1"/>
  <c r="F1430" i="1"/>
  <c r="G1430" i="1"/>
  <c r="H1430" i="1"/>
  <c r="I1430" i="1"/>
  <c r="J1430" i="1"/>
  <c r="K1430" i="1"/>
  <c r="L1430" i="1"/>
  <c r="M1430" i="1"/>
  <c r="N1430" i="1"/>
  <c r="O1430" i="1"/>
  <c r="P1430" i="1"/>
  <c r="Q1430" i="1"/>
  <c r="A1431" i="1"/>
  <c r="B1431" i="1"/>
  <c r="C1431" i="1"/>
  <c r="E1431" i="1"/>
  <c r="F1431" i="1"/>
  <c r="G1431" i="1"/>
  <c r="H1431" i="1"/>
  <c r="I1431" i="1"/>
  <c r="J1431" i="1"/>
  <c r="K1431" i="1"/>
  <c r="L1431" i="1"/>
  <c r="M1431" i="1"/>
  <c r="N1431" i="1"/>
  <c r="O1431" i="1"/>
  <c r="P1431" i="1"/>
  <c r="Q1431" i="1"/>
  <c r="A1432" i="1"/>
  <c r="B1432" i="1"/>
  <c r="C1432" i="1"/>
  <c r="D1432" i="1"/>
  <c r="E1432" i="1"/>
  <c r="F1432" i="1"/>
  <c r="G1432" i="1"/>
  <c r="H1432" i="1"/>
  <c r="I1432" i="1"/>
  <c r="J1432" i="1"/>
  <c r="K1432" i="1"/>
  <c r="L1432" i="1"/>
  <c r="M1432" i="1"/>
  <c r="N1432" i="1"/>
  <c r="O1432" i="1"/>
  <c r="P1432" i="1"/>
  <c r="Q1432" i="1"/>
  <c r="A1433" i="1"/>
  <c r="B1433" i="1"/>
  <c r="C1433" i="1"/>
  <c r="E1433" i="1"/>
  <c r="F1433" i="1"/>
  <c r="G1433" i="1"/>
  <c r="H1433" i="1"/>
  <c r="I1433" i="1"/>
  <c r="J1433" i="1"/>
  <c r="K1433" i="1"/>
  <c r="L1433" i="1"/>
  <c r="M1433" i="1"/>
  <c r="N1433" i="1"/>
  <c r="O1433" i="1"/>
  <c r="P1433" i="1"/>
  <c r="Q1433" i="1"/>
  <c r="A1434" i="1"/>
  <c r="B1434" i="1"/>
  <c r="C1434" i="1"/>
  <c r="E1434" i="1"/>
  <c r="F1434" i="1"/>
  <c r="G1434" i="1"/>
  <c r="H1434" i="1"/>
  <c r="I1434" i="1"/>
  <c r="J1434" i="1"/>
  <c r="K1434" i="1"/>
  <c r="L1434" i="1"/>
  <c r="M1434" i="1"/>
  <c r="N1434" i="1"/>
  <c r="O1434" i="1"/>
  <c r="P1434" i="1"/>
  <c r="Q1434" i="1"/>
  <c r="A1435" i="1"/>
  <c r="B1435" i="1"/>
  <c r="C1435" i="1"/>
  <c r="D1435" i="1"/>
  <c r="E1435" i="1"/>
  <c r="F1435" i="1"/>
  <c r="G1435" i="1"/>
  <c r="H1435" i="1"/>
  <c r="I1435" i="1"/>
  <c r="J1435" i="1"/>
  <c r="K1435" i="1"/>
  <c r="L1435" i="1"/>
  <c r="M1435" i="1"/>
  <c r="N1435" i="1"/>
  <c r="O1435" i="1"/>
  <c r="P1435" i="1"/>
  <c r="Q1435" i="1"/>
  <c r="A1436" i="1"/>
  <c r="B1436" i="1"/>
  <c r="C1436" i="1"/>
  <c r="D1436" i="1"/>
  <c r="E1436" i="1"/>
  <c r="F1436" i="1"/>
  <c r="G1436" i="1"/>
  <c r="H1436" i="1"/>
  <c r="I1436" i="1"/>
  <c r="J1436" i="1"/>
  <c r="K1436" i="1"/>
  <c r="L1436" i="1"/>
  <c r="M1436" i="1"/>
  <c r="N1436" i="1"/>
  <c r="O1436" i="1"/>
  <c r="P1436" i="1"/>
  <c r="Q1436" i="1"/>
  <c r="A1437" i="1"/>
  <c r="B1437" i="1"/>
  <c r="C1437" i="1"/>
  <c r="D1437" i="1"/>
  <c r="E1437" i="1"/>
  <c r="F1437" i="1"/>
  <c r="G1437" i="1"/>
  <c r="H1437" i="1"/>
  <c r="I1437" i="1"/>
  <c r="J1437" i="1"/>
  <c r="K1437" i="1"/>
  <c r="L1437" i="1"/>
  <c r="M1437" i="1"/>
  <c r="N1437" i="1"/>
  <c r="O1437" i="1"/>
  <c r="P1437" i="1"/>
  <c r="Q1437" i="1"/>
  <c r="A1438" i="1"/>
  <c r="B1438" i="1"/>
  <c r="C1438" i="1"/>
  <c r="D1438" i="1"/>
  <c r="E1438" i="1"/>
  <c r="F1438" i="1"/>
  <c r="G1438" i="1"/>
  <c r="H1438" i="1"/>
  <c r="I1438" i="1"/>
  <c r="J1438" i="1"/>
  <c r="K1438" i="1"/>
  <c r="L1438" i="1"/>
  <c r="M1438" i="1"/>
  <c r="N1438" i="1"/>
  <c r="O1438" i="1"/>
  <c r="P1438" i="1"/>
  <c r="Q1438" i="1"/>
  <c r="A1439" i="1"/>
  <c r="B1439" i="1"/>
  <c r="C1439" i="1"/>
  <c r="D1439" i="1"/>
  <c r="E1439" i="1"/>
  <c r="F1439" i="1"/>
  <c r="G1439" i="1"/>
  <c r="H1439" i="1"/>
  <c r="I1439" i="1"/>
  <c r="J1439" i="1"/>
  <c r="K1439" i="1"/>
  <c r="L1439" i="1"/>
  <c r="M1439" i="1"/>
  <c r="N1439" i="1"/>
  <c r="O1439" i="1"/>
  <c r="P1439" i="1"/>
  <c r="Q1439" i="1"/>
  <c r="A1440" i="1"/>
  <c r="B1440" i="1"/>
  <c r="C1440" i="1"/>
  <c r="D1440" i="1"/>
  <c r="E1440" i="1"/>
  <c r="F1440" i="1"/>
  <c r="G1440" i="1"/>
  <c r="H1440" i="1"/>
  <c r="I1440" i="1"/>
  <c r="J1440" i="1"/>
  <c r="K1440" i="1"/>
  <c r="L1440" i="1"/>
  <c r="M1440" i="1"/>
  <c r="N1440" i="1"/>
  <c r="O1440" i="1"/>
  <c r="P1440" i="1"/>
  <c r="Q1440" i="1"/>
  <c r="A1441" i="1"/>
  <c r="B1441" i="1"/>
  <c r="C1441" i="1"/>
  <c r="D1441" i="1"/>
  <c r="E1441" i="1"/>
  <c r="F1441" i="1"/>
  <c r="G1441" i="1"/>
  <c r="H1441" i="1"/>
  <c r="I1441" i="1"/>
  <c r="J1441" i="1"/>
  <c r="K1441" i="1"/>
  <c r="L1441" i="1"/>
  <c r="M1441" i="1"/>
  <c r="N1441" i="1"/>
  <c r="O1441" i="1"/>
  <c r="P1441" i="1"/>
  <c r="Q1441" i="1"/>
  <c r="A1442" i="1"/>
  <c r="B1442" i="1"/>
  <c r="C1442" i="1"/>
  <c r="D1442" i="1"/>
  <c r="E1442" i="1"/>
  <c r="F1442" i="1"/>
  <c r="G1442" i="1"/>
  <c r="H1442" i="1"/>
  <c r="I1442" i="1"/>
  <c r="J1442" i="1"/>
  <c r="K1442" i="1"/>
  <c r="L1442" i="1"/>
  <c r="M1442" i="1"/>
  <c r="N1442" i="1"/>
  <c r="O1442" i="1"/>
  <c r="P1442" i="1"/>
  <c r="Q1442" i="1"/>
  <c r="A1443" i="1"/>
  <c r="B1443" i="1"/>
  <c r="C1443" i="1"/>
  <c r="D1443" i="1"/>
  <c r="E1443" i="1"/>
  <c r="F1443" i="1"/>
  <c r="G1443" i="1"/>
  <c r="H1443" i="1"/>
  <c r="I1443" i="1"/>
  <c r="J1443" i="1"/>
  <c r="K1443" i="1"/>
  <c r="L1443" i="1"/>
  <c r="M1443" i="1"/>
  <c r="N1443" i="1"/>
  <c r="O1443" i="1"/>
  <c r="P1443" i="1"/>
  <c r="Q1443" i="1"/>
  <c r="A1444" i="1"/>
  <c r="B1444" i="1"/>
  <c r="C1444" i="1"/>
  <c r="D1444" i="1"/>
  <c r="E1444" i="1"/>
  <c r="F1444" i="1"/>
  <c r="G1444" i="1"/>
  <c r="H1444" i="1"/>
  <c r="I1444" i="1"/>
  <c r="J1444" i="1"/>
  <c r="K1444" i="1"/>
  <c r="L1444" i="1"/>
  <c r="M1444" i="1"/>
  <c r="N1444" i="1"/>
  <c r="O1444" i="1"/>
  <c r="P1444" i="1"/>
  <c r="Q1444" i="1"/>
  <c r="A1445" i="1"/>
  <c r="B1445" i="1"/>
  <c r="C1445" i="1"/>
  <c r="D1445" i="1"/>
  <c r="E1445" i="1"/>
  <c r="F1445" i="1"/>
  <c r="G1445" i="1"/>
  <c r="H1445" i="1"/>
  <c r="I1445" i="1"/>
  <c r="J1445" i="1"/>
  <c r="K1445" i="1"/>
  <c r="L1445" i="1"/>
  <c r="M1445" i="1"/>
  <c r="N1445" i="1"/>
  <c r="O1445" i="1"/>
  <c r="P1445" i="1"/>
  <c r="Q1445" i="1"/>
  <c r="A1446" i="1"/>
  <c r="B1446" i="1"/>
  <c r="C1446" i="1"/>
  <c r="D1446" i="1"/>
  <c r="E1446" i="1"/>
  <c r="F1446" i="1"/>
  <c r="G1446" i="1"/>
  <c r="H1446" i="1"/>
  <c r="I1446" i="1"/>
  <c r="J1446" i="1"/>
  <c r="K1446" i="1"/>
  <c r="L1446" i="1"/>
  <c r="M1446" i="1"/>
  <c r="N1446" i="1"/>
  <c r="O1446" i="1"/>
  <c r="P1446" i="1"/>
  <c r="Q1446" i="1"/>
  <c r="A1447" i="1"/>
  <c r="B1447" i="1"/>
  <c r="C1447" i="1"/>
  <c r="D1447" i="1"/>
  <c r="E1447" i="1"/>
  <c r="F1447" i="1"/>
  <c r="G1447" i="1"/>
  <c r="H1447" i="1"/>
  <c r="I1447" i="1"/>
  <c r="J1447" i="1"/>
  <c r="K1447" i="1"/>
  <c r="L1447" i="1"/>
  <c r="M1447" i="1"/>
  <c r="N1447" i="1"/>
  <c r="O1447" i="1"/>
  <c r="P1447" i="1"/>
  <c r="Q1447" i="1"/>
  <c r="A1448" i="1"/>
  <c r="B1448" i="1"/>
  <c r="C1448" i="1"/>
  <c r="D1448" i="1"/>
  <c r="E1448" i="1"/>
  <c r="F1448" i="1"/>
  <c r="G1448" i="1"/>
  <c r="H1448" i="1"/>
  <c r="I1448" i="1"/>
  <c r="J1448" i="1"/>
  <c r="K1448" i="1"/>
  <c r="L1448" i="1"/>
  <c r="M1448" i="1"/>
  <c r="N1448" i="1"/>
  <c r="O1448" i="1"/>
  <c r="P1448" i="1"/>
  <c r="Q1448" i="1"/>
  <c r="A1449" i="1"/>
  <c r="B1449" i="1"/>
  <c r="C1449" i="1"/>
  <c r="D1449" i="1"/>
  <c r="E1449" i="1"/>
  <c r="F1449" i="1"/>
  <c r="G1449" i="1"/>
  <c r="H1449" i="1"/>
  <c r="I1449" i="1"/>
  <c r="J1449" i="1"/>
  <c r="K1449" i="1"/>
  <c r="L1449" i="1"/>
  <c r="M1449" i="1"/>
  <c r="N1449" i="1"/>
  <c r="O1449" i="1"/>
  <c r="P1449" i="1"/>
  <c r="Q1449" i="1"/>
  <c r="A1450" i="1"/>
  <c r="B1450" i="1"/>
  <c r="C1450" i="1"/>
  <c r="D1450" i="1"/>
  <c r="E1450" i="1"/>
  <c r="F1450" i="1"/>
  <c r="G1450" i="1"/>
  <c r="H1450" i="1"/>
  <c r="I1450" i="1"/>
  <c r="J1450" i="1"/>
  <c r="K1450" i="1"/>
  <c r="L1450" i="1"/>
  <c r="M1450" i="1"/>
  <c r="N1450" i="1"/>
  <c r="O1450" i="1"/>
  <c r="P1450" i="1"/>
  <c r="Q1450" i="1"/>
  <c r="A1451" i="1"/>
  <c r="B1451" i="1"/>
  <c r="C1451" i="1"/>
  <c r="D1451" i="1"/>
  <c r="E1451" i="1"/>
  <c r="F1451" i="1"/>
  <c r="G1451" i="1"/>
  <c r="H1451" i="1"/>
  <c r="I1451" i="1"/>
  <c r="J1451" i="1"/>
  <c r="K1451" i="1"/>
  <c r="L1451" i="1"/>
  <c r="M1451" i="1"/>
  <c r="N1451" i="1"/>
  <c r="O1451" i="1"/>
  <c r="P1451" i="1"/>
  <c r="Q1451" i="1"/>
  <c r="A1452" i="1"/>
  <c r="B1452" i="1"/>
  <c r="C1452" i="1"/>
  <c r="D1452" i="1"/>
  <c r="E1452" i="1"/>
  <c r="F1452" i="1"/>
  <c r="G1452" i="1"/>
  <c r="H1452" i="1"/>
  <c r="I1452" i="1"/>
  <c r="J1452" i="1"/>
  <c r="K1452" i="1"/>
  <c r="L1452" i="1"/>
  <c r="M1452" i="1"/>
  <c r="N1452" i="1"/>
  <c r="O1452" i="1"/>
  <c r="P1452" i="1"/>
  <c r="Q1452" i="1"/>
  <c r="A1453" i="1"/>
  <c r="B1453" i="1"/>
  <c r="C1453" i="1"/>
  <c r="E1453" i="1"/>
  <c r="F1453" i="1"/>
  <c r="G1453" i="1"/>
  <c r="H1453" i="1"/>
  <c r="I1453" i="1"/>
  <c r="J1453" i="1"/>
  <c r="K1453" i="1"/>
  <c r="L1453" i="1"/>
  <c r="M1453" i="1"/>
  <c r="N1453" i="1"/>
  <c r="O1453" i="1"/>
  <c r="P1453" i="1"/>
  <c r="Q1453" i="1"/>
  <c r="A1454" i="1"/>
  <c r="B1454" i="1"/>
  <c r="C1454" i="1"/>
  <c r="E1454" i="1"/>
  <c r="F1454" i="1"/>
  <c r="G1454" i="1"/>
  <c r="H1454" i="1"/>
  <c r="I1454" i="1"/>
  <c r="J1454" i="1"/>
  <c r="K1454" i="1"/>
  <c r="L1454" i="1"/>
  <c r="M1454" i="1"/>
  <c r="N1454" i="1"/>
  <c r="O1454" i="1"/>
  <c r="P1454" i="1"/>
  <c r="Q1454" i="1"/>
  <c r="A1455" i="1"/>
  <c r="B1455" i="1"/>
  <c r="C1455" i="1"/>
  <c r="E1455" i="1"/>
  <c r="F1455" i="1"/>
  <c r="G1455" i="1"/>
  <c r="H1455" i="1"/>
  <c r="I1455" i="1"/>
  <c r="J1455" i="1"/>
  <c r="K1455" i="1"/>
  <c r="L1455" i="1"/>
  <c r="M1455" i="1"/>
  <c r="N1455" i="1"/>
  <c r="O1455" i="1"/>
  <c r="P1455" i="1"/>
  <c r="Q1455" i="1"/>
  <c r="A1456" i="1"/>
  <c r="B1456" i="1"/>
  <c r="C1456" i="1"/>
  <c r="E1456" i="1"/>
  <c r="F1456" i="1"/>
  <c r="G1456" i="1"/>
  <c r="H1456" i="1"/>
  <c r="I1456" i="1"/>
  <c r="J1456" i="1"/>
  <c r="K1456" i="1"/>
  <c r="L1456" i="1"/>
  <c r="M1456" i="1"/>
  <c r="N1456" i="1"/>
  <c r="O1456" i="1"/>
  <c r="P1456" i="1"/>
  <c r="Q1456" i="1"/>
  <c r="A1457" i="1"/>
  <c r="B1457" i="1"/>
  <c r="C1457" i="1"/>
  <c r="D1457" i="1"/>
  <c r="E1457" i="1"/>
  <c r="F1457" i="1"/>
  <c r="G1457" i="1"/>
  <c r="H1457" i="1"/>
  <c r="I1457" i="1"/>
  <c r="J1457" i="1"/>
  <c r="K1457" i="1"/>
  <c r="L1457" i="1"/>
  <c r="M1457" i="1"/>
  <c r="N1457" i="1"/>
  <c r="O1457" i="1"/>
  <c r="P1457" i="1"/>
  <c r="Q1457" i="1"/>
  <c r="A1458" i="1"/>
  <c r="B1458" i="1"/>
  <c r="C1458" i="1"/>
  <c r="D1458" i="1"/>
  <c r="E1458" i="1"/>
  <c r="F1458" i="1"/>
  <c r="G1458" i="1"/>
  <c r="H1458" i="1"/>
  <c r="I1458" i="1"/>
  <c r="J1458" i="1"/>
  <c r="K1458" i="1"/>
  <c r="L1458" i="1"/>
  <c r="M1458" i="1"/>
  <c r="N1458" i="1"/>
  <c r="O1458" i="1"/>
  <c r="P1458" i="1"/>
  <c r="Q1458" i="1"/>
  <c r="A1459" i="1"/>
  <c r="B1459" i="1"/>
  <c r="C1459" i="1"/>
  <c r="D1459" i="1"/>
  <c r="E1459" i="1"/>
  <c r="F1459" i="1"/>
  <c r="G1459" i="1"/>
  <c r="H1459" i="1"/>
  <c r="I1459" i="1"/>
  <c r="J1459" i="1"/>
  <c r="K1459" i="1"/>
  <c r="L1459" i="1"/>
  <c r="M1459" i="1"/>
  <c r="N1459" i="1"/>
  <c r="O1459" i="1"/>
  <c r="P1459" i="1"/>
  <c r="Q1459" i="1"/>
  <c r="A1460" i="1"/>
  <c r="B1460" i="1"/>
  <c r="C1460" i="1"/>
  <c r="D1460" i="1"/>
  <c r="E1460" i="1"/>
  <c r="F1460" i="1"/>
  <c r="G1460" i="1"/>
  <c r="H1460" i="1"/>
  <c r="I1460" i="1"/>
  <c r="J1460" i="1"/>
  <c r="K1460" i="1"/>
  <c r="L1460" i="1"/>
  <c r="M1460" i="1"/>
  <c r="N1460" i="1"/>
  <c r="O1460" i="1"/>
  <c r="P1460" i="1"/>
  <c r="Q1460" i="1"/>
  <c r="A1461" i="1"/>
  <c r="B1461" i="1"/>
  <c r="C1461" i="1"/>
  <c r="D1461" i="1"/>
  <c r="E1461" i="1"/>
  <c r="F1461" i="1"/>
  <c r="G1461" i="1"/>
  <c r="H1461" i="1"/>
  <c r="I1461" i="1"/>
  <c r="J1461" i="1"/>
  <c r="K1461" i="1"/>
  <c r="L1461" i="1"/>
  <c r="M1461" i="1"/>
  <c r="N1461" i="1"/>
  <c r="O1461" i="1"/>
  <c r="P1461" i="1"/>
  <c r="Q1461" i="1"/>
  <c r="A1462" i="1"/>
  <c r="B1462" i="1"/>
  <c r="C1462" i="1"/>
  <c r="D1462" i="1"/>
  <c r="E1462" i="1"/>
  <c r="F1462" i="1"/>
  <c r="G1462" i="1"/>
  <c r="H1462" i="1"/>
  <c r="I1462" i="1"/>
  <c r="J1462" i="1"/>
  <c r="K1462" i="1"/>
  <c r="L1462" i="1"/>
  <c r="M1462" i="1"/>
  <c r="N1462" i="1"/>
  <c r="O1462" i="1"/>
  <c r="P1462" i="1"/>
  <c r="Q1462" i="1"/>
  <c r="A1463" i="1"/>
  <c r="B1463" i="1"/>
  <c r="C1463" i="1"/>
  <c r="E1463" i="1"/>
  <c r="F1463" i="1"/>
  <c r="G1463" i="1"/>
  <c r="H1463" i="1"/>
  <c r="I1463" i="1"/>
  <c r="J1463" i="1"/>
  <c r="K1463" i="1"/>
  <c r="L1463" i="1"/>
  <c r="M1463" i="1"/>
  <c r="N1463" i="1"/>
  <c r="O1463" i="1"/>
  <c r="P1463" i="1"/>
  <c r="Q1463" i="1"/>
  <c r="A1464" i="1"/>
  <c r="B1464" i="1"/>
  <c r="C1464" i="1"/>
  <c r="E1464" i="1"/>
  <c r="F1464" i="1"/>
  <c r="G1464" i="1"/>
  <c r="H1464" i="1"/>
  <c r="I1464" i="1"/>
  <c r="J1464" i="1"/>
  <c r="K1464" i="1"/>
  <c r="L1464" i="1"/>
  <c r="M1464" i="1"/>
  <c r="N1464" i="1"/>
  <c r="O1464" i="1"/>
  <c r="P1464" i="1"/>
  <c r="Q1464" i="1"/>
  <c r="A1465" i="1"/>
  <c r="B1465" i="1"/>
  <c r="C1465" i="1"/>
  <c r="D1465" i="1"/>
  <c r="E1465" i="1"/>
  <c r="F1465" i="1"/>
  <c r="G1465" i="1"/>
  <c r="H1465" i="1"/>
  <c r="I1465" i="1"/>
  <c r="J1465" i="1"/>
  <c r="K1465" i="1"/>
  <c r="L1465" i="1"/>
  <c r="M1465" i="1"/>
  <c r="N1465" i="1"/>
  <c r="O1465" i="1"/>
  <c r="P1465" i="1"/>
  <c r="Q1465" i="1"/>
  <c r="A1466" i="1"/>
  <c r="B1466" i="1"/>
  <c r="C1466" i="1"/>
  <c r="D1466" i="1"/>
  <c r="E1466" i="1"/>
  <c r="F1466" i="1"/>
  <c r="G1466" i="1"/>
  <c r="H1466" i="1"/>
  <c r="I1466" i="1"/>
  <c r="J1466" i="1"/>
  <c r="K1466" i="1"/>
  <c r="L1466" i="1"/>
  <c r="M1466" i="1"/>
  <c r="N1466" i="1"/>
  <c r="O1466" i="1"/>
  <c r="P1466" i="1"/>
  <c r="Q1466" i="1"/>
  <c r="A1467" i="1"/>
  <c r="B1467" i="1"/>
  <c r="C1467" i="1"/>
  <c r="D1467" i="1"/>
  <c r="E1467" i="1"/>
  <c r="F1467" i="1"/>
  <c r="G1467" i="1"/>
  <c r="H1467" i="1"/>
  <c r="I1467" i="1"/>
  <c r="J1467" i="1"/>
  <c r="K1467" i="1"/>
  <c r="L1467" i="1"/>
  <c r="M1467" i="1"/>
  <c r="N1467" i="1"/>
  <c r="O1467" i="1"/>
  <c r="P1467" i="1"/>
  <c r="Q1467" i="1"/>
  <c r="A1468" i="1"/>
  <c r="B1468" i="1"/>
  <c r="C1468" i="1"/>
  <c r="D1468" i="1"/>
  <c r="E1468" i="1"/>
  <c r="F1468" i="1"/>
  <c r="G1468" i="1"/>
  <c r="H1468" i="1"/>
  <c r="I1468" i="1"/>
  <c r="J1468" i="1"/>
  <c r="K1468" i="1"/>
  <c r="L1468" i="1"/>
  <c r="M1468" i="1"/>
  <c r="N1468" i="1"/>
  <c r="O1468" i="1"/>
  <c r="P1468" i="1"/>
  <c r="Q1468" i="1"/>
  <c r="A1469" i="1"/>
  <c r="B1469" i="1"/>
  <c r="C1469" i="1"/>
  <c r="D1469" i="1"/>
  <c r="E1469" i="1"/>
  <c r="F1469" i="1"/>
  <c r="G1469" i="1"/>
  <c r="H1469" i="1"/>
  <c r="I1469" i="1"/>
  <c r="J1469" i="1"/>
  <c r="K1469" i="1"/>
  <c r="L1469" i="1"/>
  <c r="M1469" i="1"/>
  <c r="N1469" i="1"/>
  <c r="O1469" i="1"/>
  <c r="P1469" i="1"/>
  <c r="Q1469" i="1"/>
  <c r="A1470" i="1"/>
  <c r="B1470" i="1"/>
  <c r="C1470" i="1"/>
  <c r="E1470" i="1"/>
  <c r="F1470" i="1"/>
  <c r="G1470" i="1"/>
  <c r="H1470" i="1"/>
  <c r="I1470" i="1"/>
  <c r="J1470" i="1"/>
  <c r="K1470" i="1"/>
  <c r="L1470" i="1"/>
  <c r="M1470" i="1"/>
  <c r="N1470" i="1"/>
  <c r="O1470" i="1"/>
  <c r="P1470" i="1"/>
  <c r="Q1470" i="1"/>
  <c r="A1471" i="1"/>
  <c r="B1471" i="1"/>
  <c r="C1471" i="1"/>
  <c r="E1471" i="1"/>
  <c r="F1471" i="1"/>
  <c r="G1471" i="1"/>
  <c r="H1471" i="1"/>
  <c r="I1471" i="1"/>
  <c r="J1471" i="1"/>
  <c r="K1471" i="1"/>
  <c r="L1471" i="1"/>
  <c r="M1471" i="1"/>
  <c r="N1471" i="1"/>
  <c r="O1471" i="1"/>
  <c r="P1471" i="1"/>
  <c r="Q1471" i="1"/>
  <c r="A1472" i="1"/>
  <c r="B1472" i="1"/>
  <c r="C1472" i="1"/>
  <c r="E1472" i="1"/>
  <c r="F1472" i="1"/>
  <c r="G1472" i="1"/>
  <c r="H1472" i="1"/>
  <c r="I1472" i="1"/>
  <c r="J1472" i="1"/>
  <c r="K1472" i="1"/>
  <c r="L1472" i="1"/>
  <c r="M1472" i="1"/>
  <c r="N1472" i="1"/>
  <c r="O1472" i="1"/>
  <c r="P1472" i="1"/>
  <c r="Q1472" i="1"/>
  <c r="A1473" i="1"/>
  <c r="B1473" i="1"/>
  <c r="E1473" i="1"/>
  <c r="F1473" i="1"/>
  <c r="G1473" i="1"/>
  <c r="H1473" i="1"/>
  <c r="I1473" i="1"/>
  <c r="J1473" i="1"/>
  <c r="K1473" i="1"/>
  <c r="L1473" i="1"/>
  <c r="M1473" i="1"/>
  <c r="N1473" i="1"/>
  <c r="O1473" i="1"/>
  <c r="P1473" i="1"/>
  <c r="Q1473" i="1"/>
  <c r="A1474" i="1"/>
  <c r="B1474" i="1"/>
  <c r="D1474" i="1"/>
  <c r="E1474" i="1"/>
  <c r="F1474" i="1"/>
  <c r="G1474" i="1"/>
  <c r="H1474" i="1"/>
  <c r="I1474" i="1"/>
  <c r="J1474" i="1"/>
  <c r="K1474" i="1"/>
  <c r="L1474" i="1"/>
  <c r="M1474" i="1"/>
  <c r="N1474" i="1"/>
  <c r="O1474" i="1"/>
  <c r="P1474" i="1"/>
  <c r="Q1474" i="1"/>
  <c r="A1475" i="1"/>
  <c r="B1475" i="1"/>
  <c r="E1475" i="1"/>
  <c r="F1475" i="1"/>
  <c r="G1475" i="1"/>
  <c r="H1475" i="1"/>
  <c r="I1475" i="1"/>
  <c r="J1475" i="1"/>
  <c r="K1475" i="1"/>
  <c r="L1475" i="1"/>
  <c r="M1475" i="1"/>
  <c r="N1475" i="1"/>
  <c r="O1475" i="1"/>
  <c r="P1475" i="1"/>
  <c r="Q1475" i="1"/>
  <c r="A1476" i="1"/>
  <c r="B1476" i="1"/>
  <c r="E1476" i="1"/>
  <c r="F1476" i="1"/>
  <c r="G1476" i="1"/>
  <c r="H1476" i="1"/>
  <c r="I1476" i="1"/>
  <c r="J1476" i="1"/>
  <c r="K1476" i="1"/>
  <c r="L1476" i="1"/>
  <c r="M1476" i="1"/>
  <c r="N1476" i="1"/>
  <c r="O1476" i="1"/>
  <c r="P1476" i="1"/>
  <c r="Q1476" i="1"/>
  <c r="A1477" i="1"/>
  <c r="B1477" i="1"/>
  <c r="E1477" i="1"/>
  <c r="F1477" i="1"/>
  <c r="G1477" i="1"/>
  <c r="H1477" i="1"/>
  <c r="I1477" i="1"/>
  <c r="J1477" i="1"/>
  <c r="K1477" i="1"/>
  <c r="L1477" i="1"/>
  <c r="M1477" i="1"/>
  <c r="N1477" i="1"/>
  <c r="O1477" i="1"/>
  <c r="P1477" i="1"/>
  <c r="Q1477" i="1"/>
  <c r="A1478" i="1"/>
  <c r="B1478" i="1"/>
  <c r="C1478" i="1"/>
  <c r="D1478" i="1"/>
  <c r="E1478" i="1"/>
  <c r="F1478" i="1"/>
  <c r="G1478" i="1"/>
  <c r="H1478" i="1"/>
  <c r="I1478" i="1"/>
  <c r="J1478" i="1"/>
  <c r="K1478" i="1"/>
  <c r="L1478" i="1"/>
  <c r="M1478" i="1"/>
  <c r="N1478" i="1"/>
  <c r="O1478" i="1"/>
  <c r="P1478" i="1"/>
  <c r="Q1478" i="1"/>
  <c r="A1479" i="1"/>
  <c r="B1479" i="1"/>
  <c r="C1479" i="1"/>
  <c r="D1479" i="1"/>
  <c r="E1479" i="1"/>
  <c r="F1479" i="1"/>
  <c r="G1479" i="1"/>
  <c r="H1479" i="1"/>
  <c r="I1479" i="1"/>
  <c r="J1479" i="1"/>
  <c r="K1479" i="1"/>
  <c r="L1479" i="1"/>
  <c r="M1479" i="1"/>
  <c r="N1479" i="1"/>
  <c r="O1479" i="1"/>
  <c r="P1479" i="1"/>
  <c r="Q1479" i="1"/>
  <c r="A1480" i="1"/>
  <c r="B1480" i="1"/>
  <c r="D1480" i="1"/>
  <c r="E1480" i="1"/>
  <c r="F1480" i="1"/>
  <c r="G1480" i="1"/>
  <c r="H1480" i="1"/>
  <c r="I1480" i="1"/>
  <c r="J1480" i="1"/>
  <c r="K1480" i="1"/>
  <c r="L1480" i="1"/>
  <c r="M1480" i="1"/>
  <c r="N1480" i="1"/>
  <c r="O1480" i="1"/>
  <c r="P1480" i="1"/>
  <c r="Q1480" i="1"/>
  <c r="A1481" i="1"/>
  <c r="B1481" i="1"/>
  <c r="C1481" i="1"/>
  <c r="D1481" i="1"/>
  <c r="E1481" i="1"/>
  <c r="F1481" i="1"/>
  <c r="G1481" i="1"/>
  <c r="H1481" i="1"/>
  <c r="I1481" i="1"/>
  <c r="J1481" i="1"/>
  <c r="K1481" i="1"/>
  <c r="L1481" i="1"/>
  <c r="M1481" i="1"/>
  <c r="N1481" i="1"/>
  <c r="O1481" i="1"/>
  <c r="P1481" i="1"/>
  <c r="Q1481" i="1"/>
  <c r="A1482" i="1"/>
  <c r="B1482" i="1"/>
  <c r="C1482" i="1"/>
  <c r="D1482" i="1"/>
  <c r="E1482" i="1"/>
  <c r="F1482" i="1"/>
  <c r="G1482" i="1"/>
  <c r="H1482" i="1"/>
  <c r="I1482" i="1"/>
  <c r="J1482" i="1"/>
  <c r="K1482" i="1"/>
  <c r="L1482" i="1"/>
  <c r="M1482" i="1"/>
  <c r="N1482" i="1"/>
  <c r="O1482" i="1"/>
  <c r="P1482" i="1"/>
  <c r="Q1482" i="1"/>
  <c r="A1483" i="1"/>
  <c r="B1483" i="1"/>
  <c r="C1483" i="1"/>
  <c r="E1483" i="1"/>
  <c r="F1483" i="1"/>
  <c r="G1483" i="1"/>
  <c r="H1483" i="1"/>
  <c r="I1483" i="1"/>
  <c r="J1483" i="1"/>
  <c r="K1483" i="1"/>
  <c r="L1483" i="1"/>
  <c r="M1483" i="1"/>
  <c r="N1483" i="1"/>
  <c r="O1483" i="1"/>
  <c r="P1483" i="1"/>
  <c r="Q1483" i="1"/>
  <c r="A1484" i="1"/>
  <c r="B1484" i="1"/>
  <c r="C1484" i="1"/>
  <c r="D1484" i="1"/>
  <c r="E1484" i="1"/>
  <c r="F1484" i="1"/>
  <c r="G1484" i="1"/>
  <c r="H1484" i="1"/>
  <c r="I1484" i="1"/>
  <c r="J1484" i="1"/>
  <c r="K1484" i="1"/>
  <c r="L1484" i="1"/>
  <c r="M1484" i="1"/>
  <c r="N1484" i="1"/>
  <c r="O1484" i="1"/>
  <c r="P1484" i="1"/>
  <c r="Q1484" i="1"/>
  <c r="A1485" i="1"/>
  <c r="B1485" i="1"/>
  <c r="C1485" i="1"/>
  <c r="E1485" i="1"/>
  <c r="F1485" i="1"/>
  <c r="G1485" i="1"/>
  <c r="H1485" i="1"/>
  <c r="I1485" i="1"/>
  <c r="J1485" i="1"/>
  <c r="K1485" i="1"/>
  <c r="L1485" i="1"/>
  <c r="M1485" i="1"/>
  <c r="N1485" i="1"/>
  <c r="O1485" i="1"/>
  <c r="P1485" i="1"/>
  <c r="Q1485" i="1"/>
  <c r="A1486" i="1"/>
  <c r="B1486" i="1"/>
  <c r="C1486" i="1"/>
  <c r="D1486" i="1"/>
  <c r="E1486" i="1"/>
  <c r="F1486" i="1"/>
  <c r="G1486" i="1"/>
  <c r="H1486" i="1"/>
  <c r="I1486" i="1"/>
  <c r="J1486" i="1"/>
  <c r="K1486" i="1"/>
  <c r="L1486" i="1"/>
  <c r="M1486" i="1"/>
  <c r="N1486" i="1"/>
  <c r="O1486" i="1"/>
  <c r="P1486" i="1"/>
  <c r="Q1486" i="1"/>
  <c r="A1487" i="1"/>
  <c r="B1487" i="1"/>
  <c r="C1487" i="1"/>
  <c r="D1487" i="1"/>
  <c r="E1487" i="1"/>
  <c r="F1487" i="1"/>
  <c r="G1487" i="1"/>
  <c r="H1487" i="1"/>
  <c r="I1487" i="1"/>
  <c r="J1487" i="1"/>
  <c r="K1487" i="1"/>
  <c r="L1487" i="1"/>
  <c r="M1487" i="1"/>
  <c r="N1487" i="1"/>
  <c r="O1487" i="1"/>
  <c r="P1487" i="1"/>
  <c r="Q1487" i="1"/>
  <c r="A1488" i="1"/>
  <c r="B1488" i="1"/>
  <c r="C1488" i="1"/>
  <c r="E1488" i="1"/>
  <c r="F1488" i="1"/>
  <c r="G1488" i="1"/>
  <c r="H1488" i="1"/>
  <c r="I1488" i="1"/>
  <c r="J1488" i="1"/>
  <c r="K1488" i="1"/>
  <c r="L1488" i="1"/>
  <c r="M1488" i="1"/>
  <c r="N1488" i="1"/>
  <c r="O1488" i="1"/>
  <c r="P1488" i="1"/>
  <c r="Q1488" i="1"/>
  <c r="A1489" i="1"/>
  <c r="B1489" i="1"/>
  <c r="C1489" i="1"/>
  <c r="E1489" i="1"/>
  <c r="F1489" i="1"/>
  <c r="G1489" i="1"/>
  <c r="H1489" i="1"/>
  <c r="I1489" i="1"/>
  <c r="J1489" i="1"/>
  <c r="K1489" i="1"/>
  <c r="L1489" i="1"/>
  <c r="M1489" i="1"/>
  <c r="N1489" i="1"/>
  <c r="O1489" i="1"/>
  <c r="P1489" i="1"/>
  <c r="Q1489" i="1"/>
  <c r="A1490" i="1"/>
  <c r="B1490" i="1"/>
  <c r="C1490" i="1"/>
  <c r="D1490" i="1"/>
  <c r="E1490" i="1"/>
  <c r="F1490" i="1"/>
  <c r="G1490" i="1"/>
  <c r="H1490" i="1"/>
  <c r="I1490" i="1"/>
  <c r="J1490" i="1"/>
  <c r="K1490" i="1"/>
  <c r="L1490" i="1"/>
  <c r="M1490" i="1"/>
  <c r="N1490" i="1"/>
  <c r="O1490" i="1"/>
  <c r="P1490" i="1"/>
  <c r="Q1490" i="1"/>
  <c r="A1491" i="1"/>
  <c r="B1491" i="1"/>
  <c r="C1491" i="1"/>
  <c r="D1491" i="1"/>
  <c r="E1491" i="1"/>
  <c r="F1491" i="1"/>
  <c r="G1491" i="1"/>
  <c r="H1491" i="1"/>
  <c r="I1491" i="1"/>
  <c r="J1491" i="1"/>
  <c r="K1491" i="1"/>
  <c r="L1491" i="1"/>
  <c r="M1491" i="1"/>
  <c r="N1491" i="1"/>
  <c r="O1491" i="1"/>
  <c r="P1491" i="1"/>
  <c r="Q1491" i="1"/>
  <c r="A1492" i="1"/>
  <c r="B1492" i="1"/>
  <c r="C1492" i="1"/>
  <c r="D1492" i="1"/>
  <c r="E1492" i="1"/>
  <c r="F1492" i="1"/>
  <c r="G1492" i="1"/>
  <c r="H1492" i="1"/>
  <c r="I1492" i="1"/>
  <c r="J1492" i="1"/>
  <c r="K1492" i="1"/>
  <c r="L1492" i="1"/>
  <c r="M1492" i="1"/>
  <c r="N1492" i="1"/>
  <c r="O1492" i="1"/>
  <c r="P1492" i="1"/>
  <c r="Q1492" i="1"/>
  <c r="A1493" i="1"/>
  <c r="B1493" i="1"/>
  <c r="C1493" i="1"/>
  <c r="D1493" i="1"/>
  <c r="E1493" i="1"/>
  <c r="F1493" i="1"/>
  <c r="G1493" i="1"/>
  <c r="H1493" i="1"/>
  <c r="I1493" i="1"/>
  <c r="J1493" i="1"/>
  <c r="K1493" i="1"/>
  <c r="L1493" i="1"/>
  <c r="M1493" i="1"/>
  <c r="N1493" i="1"/>
  <c r="O1493" i="1"/>
  <c r="P1493" i="1"/>
  <c r="Q1493" i="1"/>
  <c r="A1494" i="1"/>
  <c r="B1494" i="1"/>
  <c r="C1494" i="1"/>
  <c r="D1494" i="1"/>
  <c r="E1494" i="1"/>
  <c r="F1494" i="1"/>
  <c r="G1494" i="1"/>
  <c r="H1494" i="1"/>
  <c r="I1494" i="1"/>
  <c r="J1494" i="1"/>
  <c r="K1494" i="1"/>
  <c r="L1494" i="1"/>
  <c r="M1494" i="1"/>
  <c r="N1494" i="1"/>
  <c r="O1494" i="1"/>
  <c r="P1494" i="1"/>
  <c r="Q1494" i="1"/>
  <c r="A1495" i="1"/>
  <c r="B1495" i="1"/>
  <c r="C1495" i="1"/>
  <c r="D1495" i="1"/>
  <c r="E1495" i="1"/>
  <c r="F1495" i="1"/>
  <c r="G1495" i="1"/>
  <c r="H1495" i="1"/>
  <c r="I1495" i="1"/>
  <c r="J1495" i="1"/>
  <c r="K1495" i="1"/>
  <c r="L1495" i="1"/>
  <c r="M1495" i="1"/>
  <c r="N1495" i="1"/>
  <c r="O1495" i="1"/>
  <c r="P1495" i="1"/>
  <c r="Q1495" i="1"/>
  <c r="A1496" i="1"/>
  <c r="B1496" i="1"/>
  <c r="C1496" i="1"/>
  <c r="E1496" i="1"/>
  <c r="F1496" i="1"/>
  <c r="G1496" i="1"/>
  <c r="H1496" i="1"/>
  <c r="I1496" i="1"/>
  <c r="J1496" i="1"/>
  <c r="K1496" i="1"/>
  <c r="L1496" i="1"/>
  <c r="M1496" i="1"/>
  <c r="N1496" i="1"/>
  <c r="O1496" i="1"/>
  <c r="P1496" i="1"/>
  <c r="Q1496" i="1"/>
  <c r="A1497" i="1"/>
  <c r="B1497" i="1"/>
  <c r="C1497" i="1"/>
  <c r="D1497" i="1"/>
  <c r="E1497" i="1"/>
  <c r="F1497" i="1"/>
  <c r="G1497" i="1"/>
  <c r="H1497" i="1"/>
  <c r="I1497" i="1"/>
  <c r="J1497" i="1"/>
  <c r="K1497" i="1"/>
  <c r="L1497" i="1"/>
  <c r="M1497" i="1"/>
  <c r="N1497" i="1"/>
  <c r="O1497" i="1"/>
  <c r="P1497" i="1"/>
  <c r="Q1497" i="1"/>
  <c r="A1498" i="1"/>
  <c r="B1498" i="1"/>
  <c r="C1498" i="1"/>
  <c r="E1498" i="1"/>
  <c r="F1498" i="1"/>
  <c r="G1498" i="1"/>
  <c r="H1498" i="1"/>
  <c r="I1498" i="1"/>
  <c r="J1498" i="1"/>
  <c r="K1498" i="1"/>
  <c r="L1498" i="1"/>
  <c r="M1498" i="1"/>
  <c r="N1498" i="1"/>
  <c r="O1498" i="1"/>
  <c r="P1498" i="1"/>
  <c r="Q1498" i="1"/>
  <c r="A1499" i="1"/>
  <c r="B1499" i="1"/>
  <c r="C1499" i="1"/>
  <c r="D1499" i="1"/>
  <c r="E1499" i="1"/>
  <c r="F1499" i="1"/>
  <c r="G1499" i="1"/>
  <c r="H1499" i="1"/>
  <c r="I1499" i="1"/>
  <c r="J1499" i="1"/>
  <c r="K1499" i="1"/>
  <c r="L1499" i="1"/>
  <c r="M1499" i="1"/>
  <c r="N1499" i="1"/>
  <c r="O1499" i="1"/>
  <c r="P1499" i="1"/>
  <c r="Q1499" i="1"/>
  <c r="A1500" i="1"/>
  <c r="B1500" i="1"/>
  <c r="C1500" i="1"/>
  <c r="D1500" i="1"/>
  <c r="E1500" i="1"/>
  <c r="F1500" i="1"/>
  <c r="G1500" i="1"/>
  <c r="H1500" i="1"/>
  <c r="I1500" i="1"/>
  <c r="J1500" i="1"/>
  <c r="K1500" i="1"/>
  <c r="L1500" i="1"/>
  <c r="M1500" i="1"/>
  <c r="N1500" i="1"/>
  <c r="O1500" i="1"/>
  <c r="P1500" i="1"/>
  <c r="Q1500" i="1"/>
  <c r="A1501" i="1"/>
  <c r="B1501" i="1"/>
  <c r="C1501" i="1"/>
  <c r="D1501" i="1"/>
  <c r="E1501" i="1"/>
  <c r="F1501" i="1"/>
  <c r="G1501" i="1"/>
  <c r="H1501" i="1"/>
  <c r="I1501" i="1"/>
  <c r="J1501" i="1"/>
  <c r="K1501" i="1"/>
  <c r="L1501" i="1"/>
  <c r="M1501" i="1"/>
  <c r="N1501" i="1"/>
  <c r="O1501" i="1"/>
  <c r="P1501" i="1"/>
  <c r="Q1501" i="1"/>
  <c r="A1502" i="1"/>
  <c r="B1502" i="1"/>
  <c r="C1502" i="1"/>
  <c r="E1502" i="1"/>
  <c r="F1502" i="1"/>
  <c r="G1502" i="1"/>
  <c r="H1502" i="1"/>
  <c r="I1502" i="1"/>
  <c r="J1502" i="1"/>
  <c r="K1502" i="1"/>
  <c r="L1502" i="1"/>
  <c r="M1502" i="1"/>
  <c r="N1502" i="1"/>
  <c r="O1502" i="1"/>
  <c r="P1502" i="1"/>
  <c r="Q1502" i="1"/>
  <c r="A1503" i="1"/>
  <c r="B1503" i="1"/>
  <c r="C1503" i="1"/>
  <c r="E1503" i="1"/>
  <c r="F1503" i="1"/>
  <c r="G1503" i="1"/>
  <c r="H1503" i="1"/>
  <c r="I1503" i="1"/>
  <c r="J1503" i="1"/>
  <c r="K1503" i="1"/>
  <c r="L1503" i="1"/>
  <c r="M1503" i="1"/>
  <c r="N1503" i="1"/>
  <c r="O1503" i="1"/>
  <c r="P1503" i="1"/>
  <c r="Q1503" i="1"/>
  <c r="A1504" i="1"/>
  <c r="B1504" i="1"/>
  <c r="C1504" i="1"/>
  <c r="D1504" i="1"/>
  <c r="E1504" i="1"/>
  <c r="F1504" i="1"/>
  <c r="G1504" i="1"/>
  <c r="H1504" i="1"/>
  <c r="I1504" i="1"/>
  <c r="J1504" i="1"/>
  <c r="K1504" i="1"/>
  <c r="L1504" i="1"/>
  <c r="M1504" i="1"/>
  <c r="N1504" i="1"/>
  <c r="O1504" i="1"/>
  <c r="P1504" i="1"/>
  <c r="Q1504" i="1"/>
  <c r="A1505" i="1"/>
  <c r="B1505" i="1"/>
  <c r="C1505" i="1"/>
  <c r="D1505" i="1"/>
  <c r="E1505" i="1"/>
  <c r="F1505" i="1"/>
  <c r="G1505" i="1"/>
  <c r="H1505" i="1"/>
  <c r="I1505" i="1"/>
  <c r="J1505" i="1"/>
  <c r="K1505" i="1"/>
  <c r="L1505" i="1"/>
  <c r="M1505" i="1"/>
  <c r="N1505" i="1"/>
  <c r="O1505" i="1"/>
  <c r="P1505" i="1"/>
  <c r="Q1505" i="1"/>
  <c r="A1506" i="1"/>
  <c r="B1506" i="1"/>
  <c r="C1506" i="1"/>
  <c r="D1506" i="1"/>
  <c r="E1506" i="1"/>
  <c r="F1506" i="1"/>
  <c r="G1506" i="1"/>
  <c r="H1506" i="1"/>
  <c r="I1506" i="1"/>
  <c r="J1506" i="1"/>
  <c r="K1506" i="1"/>
  <c r="L1506" i="1"/>
  <c r="M1506" i="1"/>
  <c r="N1506" i="1"/>
  <c r="O1506" i="1"/>
  <c r="P1506" i="1"/>
  <c r="Q1506" i="1"/>
  <c r="A1507" i="1"/>
  <c r="B1507" i="1"/>
  <c r="C1507" i="1"/>
  <c r="D1507" i="1"/>
  <c r="E1507" i="1"/>
  <c r="F1507" i="1"/>
  <c r="G1507" i="1"/>
  <c r="H1507" i="1"/>
  <c r="I1507" i="1"/>
  <c r="J1507" i="1"/>
  <c r="K1507" i="1"/>
  <c r="L1507" i="1"/>
  <c r="M1507" i="1"/>
  <c r="N1507" i="1"/>
  <c r="O1507" i="1"/>
  <c r="P1507" i="1"/>
  <c r="Q1507" i="1"/>
  <c r="A1508" i="1"/>
  <c r="B1508" i="1"/>
  <c r="C1508" i="1"/>
  <c r="D1508" i="1"/>
  <c r="E1508" i="1"/>
  <c r="F1508" i="1"/>
  <c r="G1508" i="1"/>
  <c r="H1508" i="1"/>
  <c r="I1508" i="1"/>
  <c r="J1508" i="1"/>
  <c r="K1508" i="1"/>
  <c r="L1508" i="1"/>
  <c r="M1508" i="1"/>
  <c r="N1508" i="1"/>
  <c r="O1508" i="1"/>
  <c r="P1508" i="1"/>
  <c r="Q1508" i="1"/>
  <c r="A1509" i="1"/>
  <c r="B1509" i="1"/>
  <c r="C1509" i="1"/>
  <c r="D1509" i="1"/>
  <c r="E1509" i="1"/>
  <c r="F1509" i="1"/>
  <c r="G1509" i="1"/>
  <c r="H1509" i="1"/>
  <c r="I1509" i="1"/>
  <c r="J1509" i="1"/>
  <c r="K1509" i="1"/>
  <c r="L1509" i="1"/>
  <c r="M1509" i="1"/>
  <c r="N1509" i="1"/>
  <c r="O1509" i="1"/>
  <c r="P1509" i="1"/>
  <c r="Q1509" i="1"/>
  <c r="A1510" i="1"/>
  <c r="B1510" i="1"/>
  <c r="C1510" i="1"/>
  <c r="D1510" i="1"/>
  <c r="E1510" i="1"/>
  <c r="F1510" i="1"/>
  <c r="G1510" i="1"/>
  <c r="H1510" i="1"/>
  <c r="I1510" i="1"/>
  <c r="J1510" i="1"/>
  <c r="K1510" i="1"/>
  <c r="L1510" i="1"/>
  <c r="M1510" i="1"/>
  <c r="N1510" i="1"/>
  <c r="O1510" i="1"/>
  <c r="P1510" i="1"/>
  <c r="Q1510" i="1"/>
  <c r="A1511" i="1"/>
  <c r="B1511" i="1"/>
  <c r="C1511" i="1"/>
  <c r="D1511" i="1"/>
  <c r="E1511" i="1"/>
  <c r="F1511" i="1"/>
  <c r="G1511" i="1"/>
  <c r="H1511" i="1"/>
  <c r="I1511" i="1"/>
  <c r="J1511" i="1"/>
  <c r="K1511" i="1"/>
  <c r="L1511" i="1"/>
  <c r="M1511" i="1"/>
  <c r="N1511" i="1"/>
  <c r="O1511" i="1"/>
  <c r="P1511" i="1"/>
  <c r="Q1511" i="1"/>
  <c r="A1512" i="1"/>
  <c r="B1512" i="1"/>
  <c r="C1512" i="1"/>
  <c r="E1512" i="1"/>
  <c r="F1512" i="1"/>
  <c r="G1512" i="1"/>
  <c r="H1512" i="1"/>
  <c r="I1512" i="1"/>
  <c r="J1512" i="1"/>
  <c r="K1512" i="1"/>
  <c r="L1512" i="1"/>
  <c r="M1512" i="1"/>
  <c r="N1512" i="1"/>
  <c r="O1512" i="1"/>
  <c r="P1512" i="1"/>
  <c r="Q1512" i="1"/>
  <c r="A1513" i="1"/>
  <c r="B1513" i="1"/>
  <c r="C1513" i="1"/>
  <c r="D1513" i="1"/>
  <c r="E1513" i="1"/>
  <c r="F1513" i="1"/>
  <c r="G1513" i="1"/>
  <c r="H1513" i="1"/>
  <c r="I1513" i="1"/>
  <c r="J1513" i="1"/>
  <c r="K1513" i="1"/>
  <c r="L1513" i="1"/>
  <c r="M1513" i="1"/>
  <c r="N1513" i="1"/>
  <c r="O1513" i="1"/>
  <c r="P1513" i="1"/>
  <c r="Q1513" i="1"/>
  <c r="A1514" i="1"/>
  <c r="B1514" i="1"/>
  <c r="C1514" i="1"/>
  <c r="D1514" i="1"/>
  <c r="E1514" i="1"/>
  <c r="F1514" i="1"/>
  <c r="G1514" i="1"/>
  <c r="H1514" i="1"/>
  <c r="I1514" i="1"/>
  <c r="J1514" i="1"/>
  <c r="K1514" i="1"/>
  <c r="L1514" i="1"/>
  <c r="M1514" i="1"/>
  <c r="N1514" i="1"/>
  <c r="O1514" i="1"/>
  <c r="P1514" i="1"/>
  <c r="Q1514" i="1"/>
  <c r="A1515" i="1"/>
  <c r="B1515" i="1"/>
  <c r="C1515" i="1"/>
  <c r="D1515" i="1"/>
  <c r="E1515" i="1"/>
  <c r="F1515" i="1"/>
  <c r="G1515" i="1"/>
  <c r="H1515" i="1"/>
  <c r="I1515" i="1"/>
  <c r="J1515" i="1"/>
  <c r="K1515" i="1"/>
  <c r="L1515" i="1"/>
  <c r="M1515" i="1"/>
  <c r="N1515" i="1"/>
  <c r="O1515" i="1"/>
  <c r="P1515" i="1"/>
  <c r="Q1515" i="1"/>
  <c r="A1516" i="1"/>
  <c r="B1516" i="1"/>
  <c r="C1516" i="1"/>
  <c r="E1516" i="1"/>
  <c r="F1516" i="1"/>
  <c r="G1516" i="1"/>
  <c r="H1516" i="1"/>
  <c r="I1516" i="1"/>
  <c r="J1516" i="1"/>
  <c r="K1516" i="1"/>
  <c r="L1516" i="1"/>
  <c r="M1516" i="1"/>
  <c r="N1516" i="1"/>
  <c r="O1516" i="1"/>
  <c r="P1516" i="1"/>
  <c r="Q1516" i="1"/>
  <c r="A1517" i="1"/>
  <c r="B1517" i="1"/>
  <c r="C1517" i="1"/>
  <c r="D1517" i="1"/>
  <c r="E1517" i="1"/>
  <c r="F1517" i="1"/>
  <c r="G1517" i="1"/>
  <c r="H1517" i="1"/>
  <c r="I1517" i="1"/>
  <c r="J1517" i="1"/>
  <c r="K1517" i="1"/>
  <c r="L1517" i="1"/>
  <c r="M1517" i="1"/>
  <c r="N1517" i="1"/>
  <c r="O1517" i="1"/>
  <c r="P1517" i="1"/>
  <c r="Q1517" i="1"/>
  <c r="A1518" i="1"/>
  <c r="B1518" i="1"/>
  <c r="C1518" i="1"/>
  <c r="D1518" i="1"/>
  <c r="E1518" i="1"/>
  <c r="F1518" i="1"/>
  <c r="G1518" i="1"/>
  <c r="H1518" i="1"/>
  <c r="I1518" i="1"/>
  <c r="J1518" i="1"/>
  <c r="K1518" i="1"/>
  <c r="L1518" i="1"/>
  <c r="M1518" i="1"/>
  <c r="N1518" i="1"/>
  <c r="O1518" i="1"/>
  <c r="P1518" i="1"/>
  <c r="Q1518" i="1"/>
  <c r="A1519" i="1"/>
  <c r="B1519" i="1"/>
  <c r="C1519" i="1"/>
  <c r="D1519" i="1"/>
  <c r="E1519" i="1"/>
  <c r="F1519" i="1"/>
  <c r="G1519" i="1"/>
  <c r="H1519" i="1"/>
  <c r="I1519" i="1"/>
  <c r="J1519" i="1"/>
  <c r="K1519" i="1"/>
  <c r="L1519" i="1"/>
  <c r="M1519" i="1"/>
  <c r="N1519" i="1"/>
  <c r="O1519" i="1"/>
  <c r="P1519" i="1"/>
  <c r="Q1519" i="1"/>
  <c r="A1520" i="1"/>
  <c r="B1520" i="1"/>
  <c r="C1520" i="1"/>
  <c r="D1520" i="1"/>
  <c r="E1520" i="1"/>
  <c r="F1520" i="1"/>
  <c r="G1520" i="1"/>
  <c r="H1520" i="1"/>
  <c r="I1520" i="1"/>
  <c r="J1520" i="1"/>
  <c r="K1520" i="1"/>
  <c r="L1520" i="1"/>
  <c r="M1520" i="1"/>
  <c r="N1520" i="1"/>
  <c r="O1520" i="1"/>
  <c r="P1520" i="1"/>
  <c r="Q1520" i="1"/>
  <c r="A1521" i="1"/>
  <c r="B1521" i="1"/>
  <c r="C1521" i="1"/>
  <c r="D1521" i="1"/>
  <c r="E1521" i="1"/>
  <c r="F1521" i="1"/>
  <c r="G1521" i="1"/>
  <c r="H1521" i="1"/>
  <c r="I1521" i="1"/>
  <c r="J1521" i="1"/>
  <c r="K1521" i="1"/>
  <c r="L1521" i="1"/>
  <c r="M1521" i="1"/>
  <c r="N1521" i="1"/>
  <c r="O1521" i="1"/>
  <c r="P1521" i="1"/>
  <c r="Q1521" i="1"/>
  <c r="A1522" i="1"/>
  <c r="B1522" i="1"/>
  <c r="C1522" i="1"/>
  <c r="D1522" i="1"/>
  <c r="E1522" i="1"/>
  <c r="F1522" i="1"/>
  <c r="G1522" i="1"/>
  <c r="H1522" i="1"/>
  <c r="I1522" i="1"/>
  <c r="J1522" i="1"/>
  <c r="K1522" i="1"/>
  <c r="L1522" i="1"/>
  <c r="M1522" i="1"/>
  <c r="N1522" i="1"/>
  <c r="O1522" i="1"/>
  <c r="P1522" i="1"/>
  <c r="Q1522" i="1"/>
  <c r="A1523" i="1"/>
  <c r="B1523" i="1"/>
  <c r="C1523" i="1"/>
  <c r="D1523" i="1"/>
  <c r="E1523" i="1"/>
  <c r="F1523" i="1"/>
  <c r="G1523" i="1"/>
  <c r="H1523" i="1"/>
  <c r="I1523" i="1"/>
  <c r="J1523" i="1"/>
  <c r="K1523" i="1"/>
  <c r="L1523" i="1"/>
  <c r="M1523" i="1"/>
  <c r="N1523" i="1"/>
  <c r="O1523" i="1"/>
  <c r="P1523" i="1"/>
  <c r="Q1523" i="1"/>
  <c r="A1524" i="1"/>
  <c r="B1524" i="1"/>
  <c r="C1524" i="1"/>
  <c r="D1524" i="1"/>
  <c r="E1524" i="1"/>
  <c r="F1524" i="1"/>
  <c r="G1524" i="1"/>
  <c r="H1524" i="1"/>
  <c r="I1524" i="1"/>
  <c r="J1524" i="1"/>
  <c r="K1524" i="1"/>
  <c r="L1524" i="1"/>
  <c r="M1524" i="1"/>
  <c r="N1524" i="1"/>
  <c r="O1524" i="1"/>
  <c r="P1524" i="1"/>
  <c r="Q1524" i="1"/>
  <c r="A1525" i="1"/>
  <c r="B1525" i="1"/>
  <c r="C1525" i="1"/>
  <c r="E1525" i="1"/>
  <c r="F1525" i="1"/>
  <c r="G1525" i="1"/>
  <c r="H1525" i="1"/>
  <c r="I1525" i="1"/>
  <c r="J1525" i="1"/>
  <c r="K1525" i="1"/>
  <c r="L1525" i="1"/>
  <c r="M1525" i="1"/>
  <c r="N1525" i="1"/>
  <c r="O1525" i="1"/>
  <c r="P1525" i="1"/>
  <c r="Q1525" i="1"/>
  <c r="A1526" i="1"/>
  <c r="B1526" i="1"/>
  <c r="C1526" i="1"/>
  <c r="D1526" i="1"/>
  <c r="E1526" i="1"/>
  <c r="F1526" i="1"/>
  <c r="G1526" i="1"/>
  <c r="H1526" i="1"/>
  <c r="I1526" i="1"/>
  <c r="J1526" i="1"/>
  <c r="K1526" i="1"/>
  <c r="L1526" i="1"/>
  <c r="M1526" i="1"/>
  <c r="N1526" i="1"/>
  <c r="O1526" i="1"/>
  <c r="P1526" i="1"/>
  <c r="Q1526" i="1"/>
  <c r="A1527" i="1"/>
  <c r="B1527" i="1"/>
  <c r="C1527" i="1"/>
  <c r="E1527" i="1"/>
  <c r="F1527" i="1"/>
  <c r="G1527" i="1"/>
  <c r="H1527" i="1"/>
  <c r="I1527" i="1"/>
  <c r="J1527" i="1"/>
  <c r="K1527" i="1"/>
  <c r="L1527" i="1"/>
  <c r="M1527" i="1"/>
  <c r="N1527" i="1"/>
  <c r="O1527" i="1"/>
  <c r="P1527" i="1"/>
  <c r="Q1527" i="1"/>
  <c r="A1528" i="1"/>
  <c r="B1528" i="1"/>
  <c r="C1528" i="1"/>
  <c r="E1528" i="1"/>
  <c r="F1528" i="1"/>
  <c r="G1528" i="1"/>
  <c r="H1528" i="1"/>
  <c r="I1528" i="1"/>
  <c r="J1528" i="1"/>
  <c r="K1528" i="1"/>
  <c r="L1528" i="1"/>
  <c r="M1528" i="1"/>
  <c r="N1528" i="1"/>
  <c r="O1528" i="1"/>
  <c r="P1528" i="1"/>
  <c r="Q1528" i="1"/>
  <c r="A1529" i="1"/>
  <c r="B1529" i="1"/>
  <c r="C1529" i="1"/>
  <c r="E1529" i="1"/>
  <c r="F1529" i="1"/>
  <c r="G1529" i="1"/>
  <c r="H1529" i="1"/>
  <c r="I1529" i="1"/>
  <c r="J1529" i="1"/>
  <c r="K1529" i="1"/>
  <c r="L1529" i="1"/>
  <c r="M1529" i="1"/>
  <c r="N1529" i="1"/>
  <c r="O1529" i="1"/>
  <c r="P1529" i="1"/>
  <c r="Q1529" i="1"/>
  <c r="A1530" i="1"/>
  <c r="B1530" i="1"/>
  <c r="C1530" i="1"/>
  <c r="E1530" i="1"/>
  <c r="F1530" i="1"/>
  <c r="G1530" i="1"/>
  <c r="H1530" i="1"/>
  <c r="I1530" i="1"/>
  <c r="J1530" i="1"/>
  <c r="K1530" i="1"/>
  <c r="L1530" i="1"/>
  <c r="M1530" i="1"/>
  <c r="N1530" i="1"/>
  <c r="O1530" i="1"/>
  <c r="P1530" i="1"/>
  <c r="Q1530" i="1"/>
  <c r="A1531" i="1"/>
  <c r="B1531" i="1"/>
  <c r="C1531" i="1"/>
  <c r="D1531" i="1"/>
  <c r="E1531" i="1"/>
  <c r="F1531" i="1"/>
  <c r="G1531" i="1"/>
  <c r="H1531" i="1"/>
  <c r="I1531" i="1"/>
  <c r="J1531" i="1"/>
  <c r="K1531" i="1"/>
  <c r="L1531" i="1"/>
  <c r="M1531" i="1"/>
  <c r="N1531" i="1"/>
  <c r="O1531" i="1"/>
  <c r="P1531" i="1"/>
  <c r="Q1531" i="1"/>
  <c r="A1532" i="1"/>
  <c r="B1532" i="1"/>
  <c r="C1532" i="1"/>
  <c r="D1532" i="1"/>
  <c r="E1532" i="1"/>
  <c r="F1532" i="1"/>
  <c r="G1532" i="1"/>
  <c r="H1532" i="1"/>
  <c r="I1532" i="1"/>
  <c r="J1532" i="1"/>
  <c r="K1532" i="1"/>
  <c r="L1532" i="1"/>
  <c r="M1532" i="1"/>
  <c r="N1532" i="1"/>
  <c r="O1532" i="1"/>
  <c r="P1532" i="1"/>
  <c r="Q1532" i="1"/>
  <c r="A1533" i="1"/>
  <c r="B1533" i="1"/>
  <c r="C1533" i="1"/>
  <c r="D1533" i="1"/>
  <c r="E1533" i="1"/>
  <c r="F1533" i="1"/>
  <c r="G1533" i="1"/>
  <c r="H1533" i="1"/>
  <c r="I1533" i="1"/>
  <c r="J1533" i="1"/>
  <c r="K1533" i="1"/>
  <c r="L1533" i="1"/>
  <c r="M1533" i="1"/>
  <c r="N1533" i="1"/>
  <c r="O1533" i="1"/>
  <c r="P1533" i="1"/>
  <c r="Q1533" i="1"/>
  <c r="A1534" i="1"/>
  <c r="B1534" i="1"/>
  <c r="C1534" i="1"/>
  <c r="E1534" i="1"/>
  <c r="F1534" i="1"/>
  <c r="G1534" i="1"/>
  <c r="H1534" i="1"/>
  <c r="I1534" i="1"/>
  <c r="J1534" i="1"/>
  <c r="K1534" i="1"/>
  <c r="L1534" i="1"/>
  <c r="M1534" i="1"/>
  <c r="N1534" i="1"/>
  <c r="O1534" i="1"/>
  <c r="P1534" i="1"/>
  <c r="Q1534" i="1"/>
  <c r="A1535" i="1"/>
  <c r="B1535" i="1"/>
  <c r="C1535" i="1"/>
  <c r="E1535" i="1"/>
  <c r="F1535" i="1"/>
  <c r="G1535" i="1"/>
  <c r="H1535" i="1"/>
  <c r="I1535" i="1"/>
  <c r="J1535" i="1"/>
  <c r="K1535" i="1"/>
  <c r="L1535" i="1"/>
  <c r="M1535" i="1"/>
  <c r="N1535" i="1"/>
  <c r="O1535" i="1"/>
  <c r="P1535" i="1"/>
  <c r="Q1535" i="1"/>
  <c r="A1536" i="1"/>
  <c r="B1536" i="1"/>
  <c r="C1536" i="1"/>
  <c r="E1536" i="1"/>
  <c r="F1536" i="1"/>
  <c r="G1536" i="1"/>
  <c r="H1536" i="1"/>
  <c r="I1536" i="1"/>
  <c r="J1536" i="1"/>
  <c r="K1536" i="1"/>
  <c r="L1536" i="1"/>
  <c r="M1536" i="1"/>
  <c r="N1536" i="1"/>
  <c r="O1536" i="1"/>
  <c r="P1536" i="1"/>
  <c r="Q1536" i="1"/>
  <c r="A1537" i="1"/>
  <c r="B1537" i="1"/>
  <c r="C1537" i="1"/>
  <c r="E1537" i="1"/>
  <c r="F1537" i="1"/>
  <c r="G1537" i="1"/>
  <c r="H1537" i="1"/>
  <c r="I1537" i="1"/>
  <c r="J1537" i="1"/>
  <c r="K1537" i="1"/>
  <c r="L1537" i="1"/>
  <c r="M1537" i="1"/>
  <c r="N1537" i="1"/>
  <c r="O1537" i="1"/>
  <c r="P1537" i="1"/>
  <c r="Q1537" i="1"/>
  <c r="A1538" i="1"/>
  <c r="B1538" i="1"/>
  <c r="C1538" i="1"/>
  <c r="D1538" i="1"/>
  <c r="E1538" i="1"/>
  <c r="F1538" i="1"/>
  <c r="G1538" i="1"/>
  <c r="H1538" i="1"/>
  <c r="I1538" i="1"/>
  <c r="J1538" i="1"/>
  <c r="K1538" i="1"/>
  <c r="L1538" i="1"/>
  <c r="M1538" i="1"/>
  <c r="N1538" i="1"/>
  <c r="O1538" i="1"/>
  <c r="P1538" i="1"/>
  <c r="Q1538" i="1"/>
  <c r="A1539" i="1"/>
  <c r="B1539" i="1"/>
  <c r="C1539" i="1"/>
  <c r="D1539" i="1"/>
  <c r="E1539" i="1"/>
  <c r="F1539" i="1"/>
  <c r="G1539" i="1"/>
  <c r="H1539" i="1"/>
  <c r="I1539" i="1"/>
  <c r="J1539" i="1"/>
  <c r="K1539" i="1"/>
  <c r="L1539" i="1"/>
  <c r="M1539" i="1"/>
  <c r="N1539" i="1"/>
  <c r="O1539" i="1"/>
  <c r="P1539" i="1"/>
  <c r="Q1539" i="1"/>
  <c r="A1540" i="1"/>
  <c r="B1540" i="1"/>
  <c r="C1540" i="1"/>
  <c r="D1540" i="1"/>
  <c r="E1540" i="1"/>
  <c r="F1540" i="1"/>
  <c r="G1540" i="1"/>
  <c r="H1540" i="1"/>
  <c r="I1540" i="1"/>
  <c r="J1540" i="1"/>
  <c r="K1540" i="1"/>
  <c r="L1540" i="1"/>
  <c r="M1540" i="1"/>
  <c r="N1540" i="1"/>
  <c r="O1540" i="1"/>
  <c r="P1540" i="1"/>
  <c r="Q1540" i="1"/>
  <c r="A1541" i="1"/>
  <c r="B1541" i="1"/>
  <c r="C1541" i="1"/>
  <c r="D1541" i="1"/>
  <c r="E1541" i="1"/>
  <c r="F1541" i="1"/>
  <c r="G1541" i="1"/>
  <c r="H1541" i="1"/>
  <c r="I1541" i="1"/>
  <c r="J1541" i="1"/>
  <c r="K1541" i="1"/>
  <c r="L1541" i="1"/>
  <c r="M1541" i="1"/>
  <c r="N1541" i="1"/>
  <c r="O1541" i="1"/>
  <c r="P1541" i="1"/>
  <c r="Q1541" i="1"/>
  <c r="A1542" i="1"/>
  <c r="B1542" i="1"/>
  <c r="C1542" i="1"/>
  <c r="D1542" i="1"/>
  <c r="E1542" i="1"/>
  <c r="F1542" i="1"/>
  <c r="G1542" i="1"/>
  <c r="H1542" i="1"/>
  <c r="I1542" i="1"/>
  <c r="J1542" i="1"/>
  <c r="K1542" i="1"/>
  <c r="L1542" i="1"/>
  <c r="M1542" i="1"/>
  <c r="N1542" i="1"/>
  <c r="O1542" i="1"/>
  <c r="P1542" i="1"/>
  <c r="Q1542" i="1"/>
  <c r="A1543" i="1"/>
  <c r="B1543" i="1"/>
  <c r="C1543" i="1"/>
  <c r="D1543" i="1"/>
  <c r="E1543" i="1"/>
  <c r="F1543" i="1"/>
  <c r="G1543" i="1"/>
  <c r="H1543" i="1"/>
  <c r="I1543" i="1"/>
  <c r="J1543" i="1"/>
  <c r="K1543" i="1"/>
  <c r="L1543" i="1"/>
  <c r="M1543" i="1"/>
  <c r="N1543" i="1"/>
  <c r="O1543" i="1"/>
  <c r="P1543" i="1"/>
  <c r="Q1543" i="1"/>
  <c r="A1544" i="1"/>
  <c r="B1544" i="1"/>
  <c r="C1544" i="1"/>
  <c r="E1544" i="1"/>
  <c r="F1544" i="1"/>
  <c r="G1544" i="1"/>
  <c r="H1544" i="1"/>
  <c r="I1544" i="1"/>
  <c r="J1544" i="1"/>
  <c r="K1544" i="1"/>
  <c r="L1544" i="1"/>
  <c r="M1544" i="1"/>
  <c r="N1544" i="1"/>
  <c r="O1544" i="1"/>
  <c r="P1544" i="1"/>
  <c r="Q1544" i="1"/>
  <c r="A1545" i="1"/>
  <c r="B1545" i="1"/>
  <c r="C1545" i="1"/>
  <c r="E1545" i="1"/>
  <c r="F1545" i="1"/>
  <c r="G1545" i="1"/>
  <c r="H1545" i="1"/>
  <c r="I1545" i="1"/>
  <c r="J1545" i="1"/>
  <c r="K1545" i="1"/>
  <c r="L1545" i="1"/>
  <c r="M1545" i="1"/>
  <c r="N1545" i="1"/>
  <c r="O1545" i="1"/>
  <c r="P1545" i="1"/>
  <c r="Q1545" i="1"/>
  <c r="A1546" i="1"/>
  <c r="B1546" i="1"/>
  <c r="C1546" i="1"/>
  <c r="D1546" i="1"/>
  <c r="E1546" i="1"/>
  <c r="F1546" i="1"/>
  <c r="G1546" i="1"/>
  <c r="H1546" i="1"/>
  <c r="I1546" i="1"/>
  <c r="J1546" i="1"/>
  <c r="K1546" i="1"/>
  <c r="L1546" i="1"/>
  <c r="M1546" i="1"/>
  <c r="N1546" i="1"/>
  <c r="O1546" i="1"/>
  <c r="P1546" i="1"/>
  <c r="Q1546" i="1"/>
  <c r="A1547" i="1"/>
  <c r="B1547" i="1"/>
  <c r="C1547" i="1"/>
  <c r="E1547" i="1"/>
  <c r="F1547" i="1"/>
  <c r="G1547" i="1"/>
  <c r="H1547" i="1"/>
  <c r="I1547" i="1"/>
  <c r="J1547" i="1"/>
  <c r="K1547" i="1"/>
  <c r="L1547" i="1"/>
  <c r="M1547" i="1"/>
  <c r="N1547" i="1"/>
  <c r="O1547" i="1"/>
  <c r="P1547" i="1"/>
  <c r="Q1547" i="1"/>
  <c r="A1548" i="1"/>
  <c r="B1548" i="1"/>
  <c r="C1548" i="1"/>
  <c r="D1548" i="1"/>
  <c r="E1548" i="1"/>
  <c r="F1548" i="1"/>
  <c r="G1548" i="1"/>
  <c r="H1548" i="1"/>
  <c r="I1548" i="1"/>
  <c r="J1548" i="1"/>
  <c r="K1548" i="1"/>
  <c r="L1548" i="1"/>
  <c r="M1548" i="1"/>
  <c r="N1548" i="1"/>
  <c r="O1548" i="1"/>
  <c r="P1548" i="1"/>
  <c r="Q1548" i="1"/>
  <c r="A1549" i="1"/>
  <c r="B1549" i="1"/>
  <c r="C1549" i="1"/>
  <c r="D1549" i="1"/>
  <c r="E1549" i="1"/>
  <c r="F1549" i="1"/>
  <c r="G1549" i="1"/>
  <c r="H1549" i="1"/>
  <c r="I1549" i="1"/>
  <c r="J1549" i="1"/>
  <c r="K1549" i="1"/>
  <c r="L1549" i="1"/>
  <c r="M1549" i="1"/>
  <c r="N1549" i="1"/>
  <c r="O1549" i="1"/>
  <c r="P1549" i="1"/>
  <c r="Q1549" i="1"/>
  <c r="A1550" i="1"/>
  <c r="B1550" i="1"/>
  <c r="C1550" i="1"/>
  <c r="E1550" i="1"/>
  <c r="F1550" i="1"/>
  <c r="G1550" i="1"/>
  <c r="H1550" i="1"/>
  <c r="I1550" i="1"/>
  <c r="J1550" i="1"/>
  <c r="K1550" i="1"/>
  <c r="L1550" i="1"/>
  <c r="M1550" i="1"/>
  <c r="N1550" i="1"/>
  <c r="O1550" i="1"/>
  <c r="P1550" i="1"/>
  <c r="Q1550" i="1"/>
  <c r="A1551" i="1"/>
  <c r="B1551" i="1"/>
  <c r="C1551" i="1"/>
  <c r="E1551" i="1"/>
  <c r="F1551" i="1"/>
  <c r="G1551" i="1"/>
  <c r="H1551" i="1"/>
  <c r="I1551" i="1"/>
  <c r="J1551" i="1"/>
  <c r="K1551" i="1"/>
  <c r="L1551" i="1"/>
  <c r="M1551" i="1"/>
  <c r="N1551" i="1"/>
  <c r="O1551" i="1"/>
  <c r="P1551" i="1"/>
  <c r="Q1551" i="1"/>
  <c r="A1552" i="1"/>
  <c r="B1552" i="1"/>
  <c r="C1552" i="1"/>
  <c r="D1552" i="1"/>
  <c r="E1552" i="1"/>
  <c r="F1552" i="1"/>
  <c r="G1552" i="1"/>
  <c r="H1552" i="1"/>
  <c r="I1552" i="1"/>
  <c r="J1552" i="1"/>
  <c r="K1552" i="1"/>
  <c r="L1552" i="1"/>
  <c r="M1552" i="1"/>
  <c r="N1552" i="1"/>
  <c r="O1552" i="1"/>
  <c r="P1552" i="1"/>
  <c r="Q1552" i="1"/>
  <c r="A1553" i="1"/>
  <c r="B1553" i="1"/>
  <c r="C1553" i="1"/>
  <c r="E1553" i="1"/>
  <c r="F1553" i="1"/>
  <c r="G1553" i="1"/>
  <c r="H1553" i="1"/>
  <c r="I1553" i="1"/>
  <c r="J1553" i="1"/>
  <c r="K1553" i="1"/>
  <c r="L1553" i="1"/>
  <c r="M1553" i="1"/>
  <c r="N1553" i="1"/>
  <c r="O1553" i="1"/>
  <c r="P1553" i="1"/>
  <c r="Q1553" i="1"/>
  <c r="A1554" i="1"/>
  <c r="B1554" i="1"/>
  <c r="C1554" i="1"/>
  <c r="D1554" i="1"/>
  <c r="E1554" i="1"/>
  <c r="F1554" i="1"/>
  <c r="G1554" i="1"/>
  <c r="H1554" i="1"/>
  <c r="I1554" i="1"/>
  <c r="J1554" i="1"/>
  <c r="K1554" i="1"/>
  <c r="L1554" i="1"/>
  <c r="M1554" i="1"/>
  <c r="N1554" i="1"/>
  <c r="O1554" i="1"/>
  <c r="P1554" i="1"/>
  <c r="Q1554" i="1"/>
  <c r="A1555" i="1"/>
  <c r="B1555" i="1"/>
  <c r="C1555" i="1"/>
  <c r="D1555" i="1"/>
  <c r="E1555" i="1"/>
  <c r="F1555" i="1"/>
  <c r="G1555" i="1"/>
  <c r="H1555" i="1"/>
  <c r="I1555" i="1"/>
  <c r="J1555" i="1"/>
  <c r="K1555" i="1"/>
  <c r="L1555" i="1"/>
  <c r="M1555" i="1"/>
  <c r="N1555" i="1"/>
  <c r="O1555" i="1"/>
  <c r="P1555" i="1"/>
  <c r="Q1555" i="1"/>
  <c r="A1556" i="1"/>
  <c r="B1556" i="1"/>
  <c r="C1556" i="1"/>
  <c r="D1556" i="1"/>
  <c r="E1556" i="1"/>
  <c r="F1556" i="1"/>
  <c r="G1556" i="1"/>
  <c r="H1556" i="1"/>
  <c r="I1556" i="1"/>
  <c r="J1556" i="1"/>
  <c r="K1556" i="1"/>
  <c r="L1556" i="1"/>
  <c r="M1556" i="1"/>
  <c r="N1556" i="1"/>
  <c r="O1556" i="1"/>
  <c r="P1556" i="1"/>
  <c r="Q1556" i="1"/>
  <c r="A1557" i="1"/>
  <c r="B1557" i="1"/>
  <c r="C1557" i="1"/>
  <c r="D1557" i="1"/>
  <c r="E1557" i="1"/>
  <c r="F1557" i="1"/>
  <c r="G1557" i="1"/>
  <c r="H1557" i="1"/>
  <c r="I1557" i="1"/>
  <c r="J1557" i="1"/>
  <c r="K1557" i="1"/>
  <c r="L1557" i="1"/>
  <c r="M1557" i="1"/>
  <c r="N1557" i="1"/>
  <c r="O1557" i="1"/>
  <c r="P1557" i="1"/>
  <c r="Q1557" i="1"/>
  <c r="A1558" i="1"/>
  <c r="B1558" i="1"/>
  <c r="C1558" i="1"/>
  <c r="D1558" i="1"/>
  <c r="E1558" i="1"/>
  <c r="F1558" i="1"/>
  <c r="G1558" i="1"/>
  <c r="H1558" i="1"/>
  <c r="I1558" i="1"/>
  <c r="J1558" i="1"/>
  <c r="K1558" i="1"/>
  <c r="L1558" i="1"/>
  <c r="M1558" i="1"/>
  <c r="N1558" i="1"/>
  <c r="O1558" i="1"/>
  <c r="P1558" i="1"/>
  <c r="Q1558" i="1"/>
  <c r="A1559" i="1"/>
  <c r="B1559" i="1"/>
  <c r="C1559" i="1"/>
  <c r="D1559" i="1"/>
  <c r="E1559" i="1"/>
  <c r="F1559" i="1"/>
  <c r="G1559" i="1"/>
  <c r="H1559" i="1"/>
  <c r="I1559" i="1"/>
  <c r="J1559" i="1"/>
  <c r="K1559" i="1"/>
  <c r="L1559" i="1"/>
  <c r="M1559" i="1"/>
  <c r="N1559" i="1"/>
  <c r="O1559" i="1"/>
  <c r="P1559" i="1"/>
  <c r="Q1559" i="1"/>
  <c r="A1560" i="1"/>
  <c r="B1560" i="1"/>
  <c r="C1560" i="1"/>
  <c r="D1560" i="1"/>
  <c r="E1560" i="1"/>
  <c r="F1560" i="1"/>
  <c r="G1560" i="1"/>
  <c r="H1560" i="1"/>
  <c r="I1560" i="1"/>
  <c r="J1560" i="1"/>
  <c r="K1560" i="1"/>
  <c r="L1560" i="1"/>
  <c r="M1560" i="1"/>
  <c r="N1560" i="1"/>
  <c r="O1560" i="1"/>
  <c r="P1560" i="1"/>
  <c r="Q1560" i="1"/>
  <c r="A1561" i="1"/>
  <c r="B1561" i="1"/>
  <c r="C1561" i="1"/>
  <c r="D1561" i="1"/>
  <c r="E1561" i="1"/>
  <c r="F1561" i="1"/>
  <c r="G1561" i="1"/>
  <c r="H1561" i="1"/>
  <c r="I1561" i="1"/>
  <c r="J1561" i="1"/>
  <c r="K1561" i="1"/>
  <c r="L1561" i="1"/>
  <c r="M1561" i="1"/>
  <c r="N1561" i="1"/>
  <c r="O1561" i="1"/>
  <c r="P1561" i="1"/>
  <c r="Q1561" i="1"/>
  <c r="A1562" i="1"/>
  <c r="B1562" i="1"/>
  <c r="C1562" i="1"/>
  <c r="D1562" i="1"/>
  <c r="E1562" i="1"/>
  <c r="F1562" i="1"/>
  <c r="G1562" i="1"/>
  <c r="H1562" i="1"/>
  <c r="I1562" i="1"/>
  <c r="J1562" i="1"/>
  <c r="K1562" i="1"/>
  <c r="L1562" i="1"/>
  <c r="M1562" i="1"/>
  <c r="N1562" i="1"/>
  <c r="O1562" i="1"/>
  <c r="P1562" i="1"/>
  <c r="Q1562" i="1"/>
  <c r="A1563" i="1"/>
  <c r="B1563" i="1"/>
  <c r="C1563" i="1"/>
  <c r="D1563" i="1"/>
  <c r="E1563" i="1"/>
  <c r="F1563" i="1"/>
  <c r="G1563" i="1"/>
  <c r="H1563" i="1"/>
  <c r="I1563" i="1"/>
  <c r="J1563" i="1"/>
  <c r="K1563" i="1"/>
  <c r="L1563" i="1"/>
  <c r="M1563" i="1"/>
  <c r="N1563" i="1"/>
  <c r="O1563" i="1"/>
  <c r="P1563" i="1"/>
  <c r="Q1563" i="1"/>
  <c r="A1564" i="1"/>
  <c r="B1564" i="1"/>
  <c r="C1564" i="1"/>
  <c r="E1564" i="1"/>
  <c r="F1564" i="1"/>
  <c r="G1564" i="1"/>
  <c r="H1564" i="1"/>
  <c r="I1564" i="1"/>
  <c r="J1564" i="1"/>
  <c r="K1564" i="1"/>
  <c r="L1564" i="1"/>
  <c r="M1564" i="1"/>
  <c r="N1564" i="1"/>
  <c r="O1564" i="1"/>
  <c r="P1564" i="1"/>
  <c r="Q1564" i="1"/>
  <c r="A1565" i="1"/>
  <c r="B1565" i="1"/>
  <c r="C1565" i="1"/>
  <c r="D1565" i="1"/>
  <c r="E1565" i="1"/>
  <c r="F1565" i="1"/>
  <c r="G1565" i="1"/>
  <c r="H1565" i="1"/>
  <c r="I1565" i="1"/>
  <c r="J1565" i="1"/>
  <c r="K1565" i="1"/>
  <c r="L1565" i="1"/>
  <c r="M1565" i="1"/>
  <c r="N1565" i="1"/>
  <c r="O1565" i="1"/>
  <c r="P1565" i="1"/>
  <c r="Q1565" i="1"/>
  <c r="A1566" i="1"/>
  <c r="B1566" i="1"/>
  <c r="C1566" i="1"/>
  <c r="D1566" i="1"/>
  <c r="E1566" i="1"/>
  <c r="F1566" i="1"/>
  <c r="G1566" i="1"/>
  <c r="H1566" i="1"/>
  <c r="I1566" i="1"/>
  <c r="J1566" i="1"/>
  <c r="K1566" i="1"/>
  <c r="L1566" i="1"/>
  <c r="M1566" i="1"/>
  <c r="N1566" i="1"/>
  <c r="O1566" i="1"/>
  <c r="P1566" i="1"/>
  <c r="Q1566" i="1"/>
  <c r="A1567" i="1"/>
  <c r="B1567" i="1"/>
  <c r="C1567" i="1"/>
  <c r="D1567" i="1"/>
  <c r="E1567" i="1"/>
  <c r="F1567" i="1"/>
  <c r="G1567" i="1"/>
  <c r="H1567" i="1"/>
  <c r="I1567" i="1"/>
  <c r="J1567" i="1"/>
  <c r="K1567" i="1"/>
  <c r="L1567" i="1"/>
  <c r="M1567" i="1"/>
  <c r="N1567" i="1"/>
  <c r="O1567" i="1"/>
  <c r="P1567" i="1"/>
  <c r="Q1567" i="1"/>
  <c r="A1568" i="1"/>
  <c r="B1568" i="1"/>
  <c r="C1568" i="1"/>
  <c r="D1568" i="1"/>
  <c r="E1568" i="1"/>
  <c r="F1568" i="1"/>
  <c r="G1568" i="1"/>
  <c r="H1568" i="1"/>
  <c r="I1568" i="1"/>
  <c r="J1568" i="1"/>
  <c r="K1568" i="1"/>
  <c r="L1568" i="1"/>
  <c r="M1568" i="1"/>
  <c r="N1568" i="1"/>
  <c r="O1568" i="1"/>
  <c r="P1568" i="1"/>
  <c r="Q1568" i="1"/>
  <c r="A1569" i="1"/>
  <c r="B1569" i="1"/>
  <c r="C1569" i="1"/>
  <c r="D1569" i="1"/>
  <c r="E1569" i="1"/>
  <c r="F1569" i="1"/>
  <c r="G1569" i="1"/>
  <c r="H1569" i="1"/>
  <c r="I1569" i="1"/>
  <c r="J1569" i="1"/>
  <c r="K1569" i="1"/>
  <c r="L1569" i="1"/>
  <c r="M1569" i="1"/>
  <c r="N1569" i="1"/>
  <c r="O1569" i="1"/>
  <c r="P1569" i="1"/>
  <c r="Q1569" i="1"/>
  <c r="A1570" i="1"/>
  <c r="B1570" i="1"/>
  <c r="C1570" i="1"/>
  <c r="D1570" i="1"/>
  <c r="E1570" i="1"/>
  <c r="F1570" i="1"/>
  <c r="G1570" i="1"/>
  <c r="H1570" i="1"/>
  <c r="I1570" i="1"/>
  <c r="J1570" i="1"/>
  <c r="K1570" i="1"/>
  <c r="L1570" i="1"/>
  <c r="M1570" i="1"/>
  <c r="N1570" i="1"/>
  <c r="O1570" i="1"/>
  <c r="P1570" i="1"/>
  <c r="Q1570" i="1"/>
  <c r="A1571" i="1"/>
  <c r="B1571" i="1"/>
  <c r="C1571" i="1"/>
  <c r="E1571" i="1"/>
  <c r="F1571" i="1"/>
  <c r="G1571" i="1"/>
  <c r="H1571" i="1"/>
  <c r="I1571" i="1"/>
  <c r="J1571" i="1"/>
  <c r="K1571" i="1"/>
  <c r="L1571" i="1"/>
  <c r="M1571" i="1"/>
  <c r="N1571" i="1"/>
  <c r="O1571" i="1"/>
  <c r="P1571" i="1"/>
  <c r="Q1571" i="1"/>
  <c r="A1572" i="1"/>
  <c r="B1572" i="1"/>
  <c r="C1572" i="1"/>
  <c r="E1572" i="1"/>
  <c r="F1572" i="1"/>
  <c r="G1572" i="1"/>
  <c r="H1572" i="1"/>
  <c r="I1572" i="1"/>
  <c r="J1572" i="1"/>
  <c r="K1572" i="1"/>
  <c r="L1572" i="1"/>
  <c r="M1572" i="1"/>
  <c r="N1572" i="1"/>
  <c r="O1572" i="1"/>
  <c r="P1572" i="1"/>
  <c r="Q1572" i="1"/>
  <c r="A1573" i="1"/>
  <c r="B1573" i="1"/>
  <c r="C1573" i="1"/>
  <c r="D1573" i="1"/>
  <c r="E1573" i="1"/>
  <c r="F1573" i="1"/>
  <c r="G1573" i="1"/>
  <c r="H1573" i="1"/>
  <c r="I1573" i="1"/>
  <c r="J1573" i="1"/>
  <c r="K1573" i="1"/>
  <c r="L1573" i="1"/>
  <c r="M1573" i="1"/>
  <c r="N1573" i="1"/>
  <c r="O1573" i="1"/>
  <c r="P1573" i="1"/>
  <c r="Q1573" i="1"/>
  <c r="A1574" i="1"/>
  <c r="B1574" i="1"/>
  <c r="C1574" i="1"/>
  <c r="D1574" i="1"/>
  <c r="E1574" i="1"/>
  <c r="F1574" i="1"/>
  <c r="G1574" i="1"/>
  <c r="H1574" i="1"/>
  <c r="I1574" i="1"/>
  <c r="J1574" i="1"/>
  <c r="K1574" i="1"/>
  <c r="L1574" i="1"/>
  <c r="M1574" i="1"/>
  <c r="N1574" i="1"/>
  <c r="O1574" i="1"/>
  <c r="P1574" i="1"/>
  <c r="Q1574" i="1"/>
  <c r="A1575" i="1"/>
  <c r="B1575" i="1"/>
  <c r="C1575" i="1"/>
  <c r="D1575" i="1"/>
  <c r="E1575" i="1"/>
  <c r="F1575" i="1"/>
  <c r="G1575" i="1"/>
  <c r="H1575" i="1"/>
  <c r="I1575" i="1"/>
  <c r="J1575" i="1"/>
  <c r="K1575" i="1"/>
  <c r="L1575" i="1"/>
  <c r="M1575" i="1"/>
  <c r="N1575" i="1"/>
  <c r="O1575" i="1"/>
  <c r="P1575" i="1"/>
  <c r="Q1575" i="1"/>
  <c r="A1576" i="1"/>
  <c r="B1576" i="1"/>
  <c r="C1576" i="1"/>
  <c r="E1576" i="1"/>
  <c r="F1576" i="1"/>
  <c r="G1576" i="1"/>
  <c r="H1576" i="1"/>
  <c r="I1576" i="1"/>
  <c r="J1576" i="1"/>
  <c r="K1576" i="1"/>
  <c r="L1576" i="1"/>
  <c r="M1576" i="1"/>
  <c r="N1576" i="1"/>
  <c r="O1576" i="1"/>
  <c r="P1576" i="1"/>
  <c r="Q1576" i="1"/>
  <c r="A1577" i="1"/>
  <c r="B1577" i="1"/>
  <c r="C1577" i="1"/>
  <c r="E1577" i="1"/>
  <c r="F1577" i="1"/>
  <c r="G1577" i="1"/>
  <c r="H1577" i="1"/>
  <c r="I1577" i="1"/>
  <c r="J1577" i="1"/>
  <c r="K1577" i="1"/>
  <c r="L1577" i="1"/>
  <c r="M1577" i="1"/>
  <c r="N1577" i="1"/>
  <c r="O1577" i="1"/>
  <c r="P1577" i="1"/>
  <c r="Q1577" i="1"/>
  <c r="A1578" i="1"/>
  <c r="B1578" i="1"/>
  <c r="C1578" i="1"/>
  <c r="D1578" i="1"/>
  <c r="E1578" i="1"/>
  <c r="F1578" i="1"/>
  <c r="G1578" i="1"/>
  <c r="H1578" i="1"/>
  <c r="I1578" i="1"/>
  <c r="J1578" i="1"/>
  <c r="K1578" i="1"/>
  <c r="L1578" i="1"/>
  <c r="M1578" i="1"/>
  <c r="N1578" i="1"/>
  <c r="O1578" i="1"/>
  <c r="P1578" i="1"/>
  <c r="Q1578" i="1"/>
  <c r="A1579" i="1"/>
  <c r="B1579" i="1"/>
  <c r="C1579" i="1"/>
  <c r="D1579" i="1"/>
  <c r="E1579" i="1"/>
  <c r="F1579" i="1"/>
  <c r="G1579" i="1"/>
  <c r="H1579" i="1"/>
  <c r="I1579" i="1"/>
  <c r="J1579" i="1"/>
  <c r="K1579" i="1"/>
  <c r="L1579" i="1"/>
  <c r="M1579" i="1"/>
  <c r="N1579" i="1"/>
  <c r="O1579" i="1"/>
  <c r="P1579" i="1"/>
  <c r="Q1579" i="1"/>
  <c r="A1580" i="1"/>
  <c r="B1580" i="1"/>
  <c r="C1580" i="1"/>
  <c r="D1580" i="1"/>
  <c r="E1580" i="1"/>
  <c r="F1580" i="1"/>
  <c r="G1580" i="1"/>
  <c r="H1580" i="1"/>
  <c r="I1580" i="1"/>
  <c r="J1580" i="1"/>
  <c r="K1580" i="1"/>
  <c r="L1580" i="1"/>
  <c r="M1580" i="1"/>
  <c r="N1580" i="1"/>
  <c r="O1580" i="1"/>
  <c r="P1580" i="1"/>
  <c r="Q1580" i="1"/>
  <c r="A1581" i="1"/>
  <c r="B1581" i="1"/>
  <c r="C1581" i="1"/>
  <c r="D1581" i="1"/>
  <c r="E1581" i="1"/>
  <c r="F1581" i="1"/>
  <c r="G1581" i="1"/>
  <c r="H1581" i="1"/>
  <c r="I1581" i="1"/>
  <c r="J1581" i="1"/>
  <c r="K1581" i="1"/>
  <c r="L1581" i="1"/>
  <c r="M1581" i="1"/>
  <c r="N1581" i="1"/>
  <c r="O1581" i="1"/>
  <c r="P1581" i="1"/>
  <c r="Q1581" i="1"/>
  <c r="A1582" i="1"/>
  <c r="B1582" i="1"/>
  <c r="C1582" i="1"/>
  <c r="E1582" i="1"/>
  <c r="F1582" i="1"/>
  <c r="G1582" i="1"/>
  <c r="H1582" i="1"/>
  <c r="I1582" i="1"/>
  <c r="J1582" i="1"/>
  <c r="K1582" i="1"/>
  <c r="L1582" i="1"/>
  <c r="M1582" i="1"/>
  <c r="N1582" i="1"/>
  <c r="O1582" i="1"/>
  <c r="P1582" i="1"/>
  <c r="Q1582" i="1"/>
  <c r="A1583" i="1"/>
  <c r="B1583" i="1"/>
  <c r="C1583" i="1"/>
  <c r="E1583" i="1"/>
  <c r="F1583" i="1"/>
  <c r="G1583" i="1"/>
  <c r="H1583" i="1"/>
  <c r="I1583" i="1"/>
  <c r="J1583" i="1"/>
  <c r="K1583" i="1"/>
  <c r="L1583" i="1"/>
  <c r="M1583" i="1"/>
  <c r="N1583" i="1"/>
  <c r="O1583" i="1"/>
  <c r="P1583" i="1"/>
  <c r="Q1583" i="1"/>
  <c r="A1584" i="1"/>
  <c r="B1584" i="1"/>
  <c r="C1584" i="1"/>
  <c r="D1584" i="1"/>
  <c r="E1584" i="1"/>
  <c r="F1584" i="1"/>
  <c r="G1584" i="1"/>
  <c r="H1584" i="1"/>
  <c r="I1584" i="1"/>
  <c r="J1584" i="1"/>
  <c r="K1584" i="1"/>
  <c r="L1584" i="1"/>
  <c r="M1584" i="1"/>
  <c r="N1584" i="1"/>
  <c r="O1584" i="1"/>
  <c r="P1584" i="1"/>
  <c r="Q1584" i="1"/>
  <c r="A1585" i="1"/>
  <c r="B1585" i="1"/>
  <c r="C1585" i="1"/>
  <c r="E1585" i="1"/>
  <c r="F1585" i="1"/>
  <c r="G1585" i="1"/>
  <c r="H1585" i="1"/>
  <c r="I1585" i="1"/>
  <c r="J1585" i="1"/>
  <c r="K1585" i="1"/>
  <c r="L1585" i="1"/>
  <c r="M1585" i="1"/>
  <c r="N1585" i="1"/>
  <c r="O1585" i="1"/>
  <c r="P1585" i="1"/>
  <c r="Q1585" i="1"/>
  <c r="A1586" i="1"/>
  <c r="B1586" i="1"/>
  <c r="C1586" i="1"/>
  <c r="D1586" i="1"/>
  <c r="E1586" i="1"/>
  <c r="F1586" i="1"/>
  <c r="G1586" i="1"/>
  <c r="H1586" i="1"/>
  <c r="I1586" i="1"/>
  <c r="J1586" i="1"/>
  <c r="K1586" i="1"/>
  <c r="L1586" i="1"/>
  <c r="M1586" i="1"/>
  <c r="N1586" i="1"/>
  <c r="O1586" i="1"/>
  <c r="P1586" i="1"/>
  <c r="Q1586" i="1"/>
  <c r="A1587" i="1"/>
  <c r="B1587" i="1"/>
  <c r="C1587" i="1"/>
  <c r="D1587" i="1"/>
  <c r="E1587" i="1"/>
  <c r="F1587" i="1"/>
  <c r="G1587" i="1"/>
  <c r="H1587" i="1"/>
  <c r="I1587" i="1"/>
  <c r="J1587" i="1"/>
  <c r="K1587" i="1"/>
  <c r="L1587" i="1"/>
  <c r="M1587" i="1"/>
  <c r="N1587" i="1"/>
  <c r="O1587" i="1"/>
  <c r="P1587" i="1"/>
  <c r="Q1587" i="1"/>
  <c r="A1588" i="1"/>
  <c r="B1588" i="1"/>
  <c r="C1588" i="1"/>
  <c r="D1588" i="1"/>
  <c r="E1588" i="1"/>
  <c r="F1588" i="1"/>
  <c r="G1588" i="1"/>
  <c r="H1588" i="1"/>
  <c r="I1588" i="1"/>
  <c r="J1588" i="1"/>
  <c r="K1588" i="1"/>
  <c r="L1588" i="1"/>
  <c r="M1588" i="1"/>
  <c r="N1588" i="1"/>
  <c r="O1588" i="1"/>
  <c r="P1588" i="1"/>
  <c r="Q1588" i="1"/>
  <c r="A1589" i="1"/>
  <c r="B1589" i="1"/>
  <c r="C1589" i="1"/>
  <c r="E1589" i="1"/>
  <c r="F1589" i="1"/>
  <c r="G1589" i="1"/>
  <c r="H1589" i="1"/>
  <c r="I1589" i="1"/>
  <c r="J1589" i="1"/>
  <c r="K1589" i="1"/>
  <c r="L1589" i="1"/>
  <c r="M1589" i="1"/>
  <c r="N1589" i="1"/>
  <c r="O1589" i="1"/>
  <c r="P1589" i="1"/>
  <c r="Q1589" i="1"/>
  <c r="A1590" i="1"/>
  <c r="B1590" i="1"/>
  <c r="C1590" i="1"/>
  <c r="E1590" i="1"/>
  <c r="F1590" i="1"/>
  <c r="G1590" i="1"/>
  <c r="H1590" i="1"/>
  <c r="I1590" i="1"/>
  <c r="J1590" i="1"/>
  <c r="K1590" i="1"/>
  <c r="L1590" i="1"/>
  <c r="M1590" i="1"/>
  <c r="N1590" i="1"/>
  <c r="O1590" i="1"/>
  <c r="P1590" i="1"/>
  <c r="Q1590" i="1"/>
  <c r="A1591" i="1"/>
  <c r="B1591" i="1"/>
  <c r="C1591" i="1"/>
  <c r="E1591" i="1"/>
  <c r="F1591" i="1"/>
  <c r="G1591" i="1"/>
  <c r="H1591" i="1"/>
  <c r="I1591" i="1"/>
  <c r="J1591" i="1"/>
  <c r="K1591" i="1"/>
  <c r="L1591" i="1"/>
  <c r="M1591" i="1"/>
  <c r="N1591" i="1"/>
  <c r="O1591" i="1"/>
  <c r="P1591" i="1"/>
  <c r="Q1591" i="1"/>
  <c r="A1592" i="1"/>
  <c r="B1592" i="1"/>
  <c r="C1592" i="1"/>
  <c r="E1592" i="1"/>
  <c r="F1592" i="1"/>
  <c r="G1592" i="1"/>
  <c r="H1592" i="1"/>
  <c r="I1592" i="1"/>
  <c r="J1592" i="1"/>
  <c r="K1592" i="1"/>
  <c r="L1592" i="1"/>
  <c r="M1592" i="1"/>
  <c r="N1592" i="1"/>
  <c r="O1592" i="1"/>
  <c r="P1592" i="1"/>
  <c r="Q1592" i="1"/>
  <c r="A1593" i="1"/>
  <c r="B1593" i="1"/>
  <c r="C1593" i="1"/>
  <c r="E1593" i="1"/>
  <c r="F1593" i="1"/>
  <c r="G1593" i="1"/>
  <c r="H1593" i="1"/>
  <c r="I1593" i="1"/>
  <c r="J1593" i="1"/>
  <c r="K1593" i="1"/>
  <c r="L1593" i="1"/>
  <c r="M1593" i="1"/>
  <c r="N1593" i="1"/>
  <c r="O1593" i="1"/>
  <c r="P1593" i="1"/>
  <c r="Q1593" i="1"/>
  <c r="A1594" i="1"/>
  <c r="B1594" i="1"/>
  <c r="C1594" i="1"/>
  <c r="E1594" i="1"/>
  <c r="F1594" i="1"/>
  <c r="G1594" i="1"/>
  <c r="H1594" i="1"/>
  <c r="I1594" i="1"/>
  <c r="J1594" i="1"/>
  <c r="K1594" i="1"/>
  <c r="L1594" i="1"/>
  <c r="M1594" i="1"/>
  <c r="N1594" i="1"/>
  <c r="O1594" i="1"/>
  <c r="P1594" i="1"/>
  <c r="Q1594" i="1"/>
  <c r="A1595" i="1"/>
  <c r="B1595" i="1"/>
  <c r="C1595" i="1"/>
  <c r="E1595" i="1"/>
  <c r="F1595" i="1"/>
  <c r="G1595" i="1"/>
  <c r="H1595" i="1"/>
  <c r="I1595" i="1"/>
  <c r="J1595" i="1"/>
  <c r="K1595" i="1"/>
  <c r="L1595" i="1"/>
  <c r="M1595" i="1"/>
  <c r="N1595" i="1"/>
  <c r="O1595" i="1"/>
  <c r="P1595" i="1"/>
  <c r="Q1595" i="1"/>
  <c r="A1596" i="1"/>
  <c r="B1596" i="1"/>
  <c r="C1596" i="1"/>
  <c r="D1596" i="1"/>
  <c r="E1596" i="1"/>
  <c r="F1596" i="1"/>
  <c r="G1596" i="1"/>
  <c r="H1596" i="1"/>
  <c r="I1596" i="1"/>
  <c r="J1596" i="1"/>
  <c r="K1596" i="1"/>
  <c r="L1596" i="1"/>
  <c r="M1596" i="1"/>
  <c r="N1596" i="1"/>
  <c r="O1596" i="1"/>
  <c r="P1596" i="1"/>
  <c r="Q1596" i="1"/>
  <c r="A1597" i="1"/>
  <c r="B1597" i="1"/>
  <c r="C1597" i="1"/>
  <c r="E1597" i="1"/>
  <c r="F1597" i="1"/>
  <c r="G1597" i="1"/>
  <c r="H1597" i="1"/>
  <c r="I1597" i="1"/>
  <c r="J1597" i="1"/>
  <c r="K1597" i="1"/>
  <c r="L1597" i="1"/>
  <c r="M1597" i="1"/>
  <c r="N1597" i="1"/>
  <c r="O1597" i="1"/>
  <c r="P1597" i="1"/>
  <c r="Q1597" i="1"/>
  <c r="A1598" i="1"/>
  <c r="B1598" i="1"/>
  <c r="C1598" i="1"/>
  <c r="D1598" i="1"/>
  <c r="E1598" i="1"/>
  <c r="F1598" i="1"/>
  <c r="G1598" i="1"/>
  <c r="H1598" i="1"/>
  <c r="I1598" i="1"/>
  <c r="J1598" i="1"/>
  <c r="K1598" i="1"/>
  <c r="L1598" i="1"/>
  <c r="M1598" i="1"/>
  <c r="N1598" i="1"/>
  <c r="O1598" i="1"/>
  <c r="P1598" i="1"/>
  <c r="Q1598" i="1"/>
  <c r="A1599" i="1"/>
  <c r="B1599" i="1"/>
  <c r="C1599" i="1"/>
  <c r="E1599" i="1"/>
  <c r="F1599" i="1"/>
  <c r="G1599" i="1"/>
  <c r="H1599" i="1"/>
  <c r="I1599" i="1"/>
  <c r="J1599" i="1"/>
  <c r="K1599" i="1"/>
  <c r="L1599" i="1"/>
  <c r="M1599" i="1"/>
  <c r="N1599" i="1"/>
  <c r="O1599" i="1"/>
  <c r="P1599" i="1"/>
  <c r="Q1599" i="1"/>
  <c r="A1600" i="1"/>
  <c r="B1600" i="1"/>
  <c r="C1600" i="1"/>
  <c r="D1600" i="1"/>
  <c r="E1600" i="1"/>
  <c r="F1600" i="1"/>
  <c r="G1600" i="1"/>
  <c r="H1600" i="1"/>
  <c r="I1600" i="1"/>
  <c r="J1600" i="1"/>
  <c r="K1600" i="1"/>
  <c r="L1600" i="1"/>
  <c r="M1600" i="1"/>
  <c r="N1600" i="1"/>
  <c r="O1600" i="1"/>
  <c r="P1600" i="1"/>
  <c r="Q1600" i="1"/>
  <c r="A1601" i="1"/>
  <c r="B1601" i="1"/>
  <c r="C1601" i="1"/>
  <c r="D1601" i="1"/>
  <c r="E1601" i="1"/>
  <c r="F1601" i="1"/>
  <c r="G1601" i="1"/>
  <c r="H1601" i="1"/>
  <c r="I1601" i="1"/>
  <c r="J1601" i="1"/>
  <c r="K1601" i="1"/>
  <c r="L1601" i="1"/>
  <c r="M1601" i="1"/>
  <c r="N1601" i="1"/>
  <c r="O1601" i="1"/>
  <c r="P1601" i="1"/>
  <c r="Q1601" i="1"/>
  <c r="A1602" i="1"/>
  <c r="B1602" i="1"/>
  <c r="C1602" i="1"/>
  <c r="D1602" i="1"/>
  <c r="E1602" i="1"/>
  <c r="F1602" i="1"/>
  <c r="G1602" i="1"/>
  <c r="H1602" i="1"/>
  <c r="I1602" i="1"/>
  <c r="J1602" i="1"/>
  <c r="K1602" i="1"/>
  <c r="L1602" i="1"/>
  <c r="M1602" i="1"/>
  <c r="N1602" i="1"/>
  <c r="O1602" i="1"/>
  <c r="P1602" i="1"/>
  <c r="Q1602" i="1"/>
  <c r="A1603" i="1"/>
  <c r="B1603" i="1"/>
  <c r="C1603" i="1"/>
  <c r="D1603" i="1"/>
  <c r="E1603" i="1"/>
  <c r="F1603" i="1"/>
  <c r="G1603" i="1"/>
  <c r="H1603" i="1"/>
  <c r="I1603" i="1"/>
  <c r="J1603" i="1"/>
  <c r="K1603" i="1"/>
  <c r="L1603" i="1"/>
  <c r="M1603" i="1"/>
  <c r="N1603" i="1"/>
  <c r="O1603" i="1"/>
  <c r="P1603" i="1"/>
  <c r="Q1603" i="1"/>
  <c r="A1604" i="1"/>
  <c r="B1604" i="1"/>
  <c r="C1604" i="1"/>
  <c r="D1604" i="1"/>
  <c r="E1604" i="1"/>
  <c r="F1604" i="1"/>
  <c r="G1604" i="1"/>
  <c r="H1604" i="1"/>
  <c r="I1604" i="1"/>
  <c r="J1604" i="1"/>
  <c r="K1604" i="1"/>
  <c r="L1604" i="1"/>
  <c r="M1604" i="1"/>
  <c r="N1604" i="1"/>
  <c r="O1604" i="1"/>
  <c r="P1604" i="1"/>
  <c r="Q1604" i="1"/>
  <c r="A1605" i="1"/>
  <c r="B1605" i="1"/>
  <c r="C1605" i="1"/>
  <c r="D1605" i="1"/>
  <c r="E1605" i="1"/>
  <c r="F1605" i="1"/>
  <c r="G1605" i="1"/>
  <c r="H1605" i="1"/>
  <c r="I1605" i="1"/>
  <c r="J1605" i="1"/>
  <c r="K1605" i="1"/>
  <c r="L1605" i="1"/>
  <c r="M1605" i="1"/>
  <c r="N1605" i="1"/>
  <c r="O1605" i="1"/>
  <c r="P1605" i="1"/>
  <c r="Q1605" i="1"/>
  <c r="A1606" i="1"/>
  <c r="B1606" i="1"/>
  <c r="C1606" i="1"/>
  <c r="D1606" i="1"/>
  <c r="E1606" i="1"/>
  <c r="F1606" i="1"/>
  <c r="G1606" i="1"/>
  <c r="H1606" i="1"/>
  <c r="I1606" i="1"/>
  <c r="J1606" i="1"/>
  <c r="K1606" i="1"/>
  <c r="L1606" i="1"/>
  <c r="M1606" i="1"/>
  <c r="N1606" i="1"/>
  <c r="O1606" i="1"/>
  <c r="P1606" i="1"/>
  <c r="Q1606" i="1"/>
  <c r="A1607" i="1"/>
  <c r="B1607" i="1"/>
  <c r="C1607" i="1"/>
  <c r="E1607" i="1"/>
  <c r="F1607" i="1"/>
  <c r="G1607" i="1"/>
  <c r="H1607" i="1"/>
  <c r="I1607" i="1"/>
  <c r="J1607" i="1"/>
  <c r="K1607" i="1"/>
  <c r="L1607" i="1"/>
  <c r="M1607" i="1"/>
  <c r="N1607" i="1"/>
  <c r="O1607" i="1"/>
  <c r="P1607" i="1"/>
  <c r="Q1607" i="1"/>
  <c r="A1608" i="1"/>
  <c r="B1608" i="1"/>
  <c r="C1608" i="1"/>
  <c r="D1608" i="1"/>
  <c r="E1608" i="1"/>
  <c r="F1608" i="1"/>
  <c r="G1608" i="1"/>
  <c r="H1608" i="1"/>
  <c r="I1608" i="1"/>
  <c r="J1608" i="1"/>
  <c r="K1608" i="1"/>
  <c r="L1608" i="1"/>
  <c r="M1608" i="1"/>
  <c r="N1608" i="1"/>
  <c r="O1608" i="1"/>
  <c r="P1608" i="1"/>
  <c r="Q1608" i="1"/>
  <c r="A1609" i="1"/>
  <c r="B1609" i="1"/>
  <c r="C1609" i="1"/>
  <c r="E1609" i="1"/>
  <c r="F1609" i="1"/>
  <c r="G1609" i="1"/>
  <c r="H1609" i="1"/>
  <c r="I1609" i="1"/>
  <c r="J1609" i="1"/>
  <c r="K1609" i="1"/>
  <c r="L1609" i="1"/>
  <c r="M1609" i="1"/>
  <c r="N1609" i="1"/>
  <c r="O1609" i="1"/>
  <c r="P1609" i="1"/>
  <c r="Q1609" i="1"/>
  <c r="A1610" i="1"/>
  <c r="B1610" i="1"/>
  <c r="C1610" i="1"/>
  <c r="D1610" i="1"/>
  <c r="E1610" i="1"/>
  <c r="F1610" i="1"/>
  <c r="G1610" i="1"/>
  <c r="H1610" i="1"/>
  <c r="I1610" i="1"/>
  <c r="J1610" i="1"/>
  <c r="K1610" i="1"/>
  <c r="L1610" i="1"/>
  <c r="M1610" i="1"/>
  <c r="N1610" i="1"/>
  <c r="O1610" i="1"/>
  <c r="P1610" i="1"/>
  <c r="Q1610" i="1"/>
  <c r="A1611" i="1"/>
  <c r="B1611" i="1"/>
  <c r="C1611" i="1"/>
  <c r="E1611" i="1"/>
  <c r="F1611" i="1"/>
  <c r="G1611" i="1"/>
  <c r="H1611" i="1"/>
  <c r="I1611" i="1"/>
  <c r="J1611" i="1"/>
  <c r="K1611" i="1"/>
  <c r="L1611" i="1"/>
  <c r="M1611" i="1"/>
  <c r="N1611" i="1"/>
  <c r="O1611" i="1"/>
  <c r="P1611" i="1"/>
  <c r="Q1611" i="1"/>
  <c r="A1612" i="1"/>
  <c r="B1612" i="1"/>
  <c r="C1612" i="1"/>
  <c r="E1612" i="1"/>
  <c r="F1612" i="1"/>
  <c r="G1612" i="1"/>
  <c r="H1612" i="1"/>
  <c r="I1612" i="1"/>
  <c r="J1612" i="1"/>
  <c r="K1612" i="1"/>
  <c r="L1612" i="1"/>
  <c r="M1612" i="1"/>
  <c r="N1612" i="1"/>
  <c r="O1612" i="1"/>
  <c r="P1612" i="1"/>
  <c r="Q1612" i="1"/>
  <c r="A1613" i="1"/>
  <c r="B1613" i="1"/>
  <c r="C1613" i="1"/>
  <c r="D1613" i="1"/>
  <c r="E1613" i="1"/>
  <c r="F1613" i="1"/>
  <c r="G1613" i="1"/>
  <c r="H1613" i="1"/>
  <c r="I1613" i="1"/>
  <c r="J1613" i="1"/>
  <c r="K1613" i="1"/>
  <c r="L1613" i="1"/>
  <c r="M1613" i="1"/>
  <c r="N1613" i="1"/>
  <c r="O1613" i="1"/>
  <c r="P1613" i="1"/>
  <c r="Q1613" i="1"/>
  <c r="A1614" i="1"/>
  <c r="B1614" i="1"/>
  <c r="C1614" i="1"/>
  <c r="D1614" i="1"/>
  <c r="E1614" i="1"/>
  <c r="F1614" i="1"/>
  <c r="G1614" i="1"/>
  <c r="H1614" i="1"/>
  <c r="I1614" i="1"/>
  <c r="J1614" i="1"/>
  <c r="K1614" i="1"/>
  <c r="L1614" i="1"/>
  <c r="M1614" i="1"/>
  <c r="N1614" i="1"/>
  <c r="O1614" i="1"/>
  <c r="P1614" i="1"/>
  <c r="Q1614" i="1"/>
  <c r="A1615" i="1"/>
  <c r="B1615" i="1"/>
  <c r="C1615" i="1"/>
  <c r="E1615" i="1"/>
  <c r="F1615" i="1"/>
  <c r="G1615" i="1"/>
  <c r="H1615" i="1"/>
  <c r="I1615" i="1"/>
  <c r="J1615" i="1"/>
  <c r="K1615" i="1"/>
  <c r="L1615" i="1"/>
  <c r="M1615" i="1"/>
  <c r="N1615" i="1"/>
  <c r="O1615" i="1"/>
  <c r="P1615" i="1"/>
  <c r="Q1615" i="1"/>
  <c r="A1616" i="1"/>
  <c r="B1616" i="1"/>
  <c r="C1616" i="1"/>
  <c r="D1616" i="1"/>
  <c r="E1616" i="1"/>
  <c r="F1616" i="1"/>
  <c r="G1616" i="1"/>
  <c r="H1616" i="1"/>
  <c r="I1616" i="1"/>
  <c r="J1616" i="1"/>
  <c r="K1616" i="1"/>
  <c r="L1616" i="1"/>
  <c r="M1616" i="1"/>
  <c r="N1616" i="1"/>
  <c r="O1616" i="1"/>
  <c r="P1616" i="1"/>
  <c r="Q1616" i="1"/>
  <c r="A1617" i="1"/>
  <c r="B1617" i="1"/>
  <c r="C1617" i="1"/>
  <c r="E1617" i="1"/>
  <c r="F1617" i="1"/>
  <c r="G1617" i="1"/>
  <c r="H1617" i="1"/>
  <c r="I1617" i="1"/>
  <c r="J1617" i="1"/>
  <c r="K1617" i="1"/>
  <c r="L1617" i="1"/>
  <c r="M1617" i="1"/>
  <c r="N1617" i="1"/>
  <c r="O1617" i="1"/>
  <c r="P1617" i="1"/>
  <c r="Q1617" i="1"/>
  <c r="A1618" i="1"/>
  <c r="B1618" i="1"/>
  <c r="C1618" i="1"/>
  <c r="D1618" i="1"/>
  <c r="E1618" i="1"/>
  <c r="F1618" i="1"/>
  <c r="G1618" i="1"/>
  <c r="H1618" i="1"/>
  <c r="I1618" i="1"/>
  <c r="J1618" i="1"/>
  <c r="K1618" i="1"/>
  <c r="L1618" i="1"/>
  <c r="M1618" i="1"/>
  <c r="N1618" i="1"/>
  <c r="O1618" i="1"/>
  <c r="P1618" i="1"/>
  <c r="Q1618" i="1"/>
  <c r="A1619" i="1"/>
  <c r="B1619" i="1"/>
  <c r="C1619" i="1"/>
  <c r="D1619" i="1"/>
  <c r="E1619" i="1"/>
  <c r="F1619" i="1"/>
  <c r="G1619" i="1"/>
  <c r="H1619" i="1"/>
  <c r="I1619" i="1"/>
  <c r="J1619" i="1"/>
  <c r="K1619" i="1"/>
  <c r="L1619" i="1"/>
  <c r="M1619" i="1"/>
  <c r="N1619" i="1"/>
  <c r="O1619" i="1"/>
  <c r="P1619" i="1"/>
  <c r="Q1619" i="1"/>
  <c r="A1620" i="1"/>
  <c r="B1620" i="1"/>
  <c r="C1620" i="1"/>
  <c r="D1620" i="1"/>
  <c r="E1620" i="1"/>
  <c r="F1620" i="1"/>
  <c r="G1620" i="1"/>
  <c r="H1620" i="1"/>
  <c r="I1620" i="1"/>
  <c r="J1620" i="1"/>
  <c r="K1620" i="1"/>
  <c r="L1620" i="1"/>
  <c r="M1620" i="1"/>
  <c r="N1620" i="1"/>
  <c r="O1620" i="1"/>
  <c r="P1620" i="1"/>
  <c r="Q1620" i="1"/>
  <c r="A1621" i="1"/>
  <c r="B1621" i="1"/>
  <c r="C1621" i="1"/>
  <c r="D1621" i="1"/>
  <c r="E1621" i="1"/>
  <c r="F1621" i="1"/>
  <c r="G1621" i="1"/>
  <c r="H1621" i="1"/>
  <c r="I1621" i="1"/>
  <c r="J1621" i="1"/>
  <c r="K1621" i="1"/>
  <c r="L1621" i="1"/>
  <c r="M1621" i="1"/>
  <c r="N1621" i="1"/>
  <c r="O1621" i="1"/>
  <c r="P1621" i="1"/>
  <c r="Q1621" i="1"/>
  <c r="A1622" i="1"/>
  <c r="B1622" i="1"/>
  <c r="C1622" i="1"/>
  <c r="D1622" i="1"/>
  <c r="E1622" i="1"/>
  <c r="F1622" i="1"/>
  <c r="G1622" i="1"/>
  <c r="H1622" i="1"/>
  <c r="I1622" i="1"/>
  <c r="J1622" i="1"/>
  <c r="K1622" i="1"/>
  <c r="L1622" i="1"/>
  <c r="M1622" i="1"/>
  <c r="N1622" i="1"/>
  <c r="O1622" i="1"/>
  <c r="P1622" i="1"/>
  <c r="Q1622" i="1"/>
  <c r="A1623" i="1"/>
  <c r="B1623" i="1"/>
  <c r="C1623" i="1"/>
  <c r="D1623" i="1"/>
  <c r="E1623" i="1"/>
  <c r="F1623" i="1"/>
  <c r="G1623" i="1"/>
  <c r="H1623" i="1"/>
  <c r="I1623" i="1"/>
  <c r="J1623" i="1"/>
  <c r="K1623" i="1"/>
  <c r="L1623" i="1"/>
  <c r="M1623" i="1"/>
  <c r="N1623" i="1"/>
  <c r="O1623" i="1"/>
  <c r="P1623" i="1"/>
  <c r="Q1623" i="1"/>
  <c r="A1624" i="1"/>
  <c r="B1624" i="1"/>
  <c r="C1624" i="1"/>
  <c r="D1624" i="1"/>
  <c r="E1624" i="1"/>
  <c r="F1624" i="1"/>
  <c r="G1624" i="1"/>
  <c r="H1624" i="1"/>
  <c r="I1624" i="1"/>
  <c r="J1624" i="1"/>
  <c r="K1624" i="1"/>
  <c r="L1624" i="1"/>
  <c r="M1624" i="1"/>
  <c r="N1624" i="1"/>
  <c r="O1624" i="1"/>
  <c r="P1624" i="1"/>
  <c r="Q1624" i="1"/>
  <c r="A1625" i="1"/>
  <c r="B1625" i="1"/>
  <c r="C1625" i="1"/>
  <c r="D1625" i="1"/>
  <c r="E1625" i="1"/>
  <c r="F1625" i="1"/>
  <c r="G1625" i="1"/>
  <c r="H1625" i="1"/>
  <c r="I1625" i="1"/>
  <c r="J1625" i="1"/>
  <c r="K1625" i="1"/>
  <c r="L1625" i="1"/>
  <c r="M1625" i="1"/>
  <c r="N1625" i="1"/>
  <c r="O1625" i="1"/>
  <c r="P1625" i="1"/>
  <c r="Q1625" i="1"/>
  <c r="A1626" i="1"/>
  <c r="B1626" i="1"/>
  <c r="C1626" i="1"/>
  <c r="D1626" i="1"/>
  <c r="E1626" i="1"/>
  <c r="F1626" i="1"/>
  <c r="G1626" i="1"/>
  <c r="H1626" i="1"/>
  <c r="I1626" i="1"/>
  <c r="J1626" i="1"/>
  <c r="K1626" i="1"/>
  <c r="L1626" i="1"/>
  <c r="M1626" i="1"/>
  <c r="N1626" i="1"/>
  <c r="O1626" i="1"/>
  <c r="P1626" i="1"/>
  <c r="Q1626" i="1"/>
  <c r="A1627" i="1"/>
  <c r="B1627" i="1"/>
  <c r="C1627" i="1"/>
  <c r="D1627" i="1"/>
  <c r="E1627" i="1"/>
  <c r="F1627" i="1"/>
  <c r="G1627" i="1"/>
  <c r="H1627" i="1"/>
  <c r="I1627" i="1"/>
  <c r="J1627" i="1"/>
  <c r="K1627" i="1"/>
  <c r="L1627" i="1"/>
  <c r="M1627" i="1"/>
  <c r="N1627" i="1"/>
  <c r="O1627" i="1"/>
  <c r="P1627" i="1"/>
  <c r="Q1627" i="1"/>
  <c r="A1628" i="1"/>
  <c r="B1628" i="1"/>
  <c r="C1628" i="1"/>
  <c r="D1628" i="1"/>
  <c r="E1628" i="1"/>
  <c r="F1628" i="1"/>
  <c r="G1628" i="1"/>
  <c r="H1628" i="1"/>
  <c r="I1628" i="1"/>
  <c r="J1628" i="1"/>
  <c r="K1628" i="1"/>
  <c r="L1628" i="1"/>
  <c r="M1628" i="1"/>
  <c r="N1628" i="1"/>
  <c r="O1628" i="1"/>
  <c r="P1628" i="1"/>
  <c r="Q1628" i="1"/>
  <c r="A1629" i="1"/>
  <c r="B1629" i="1"/>
  <c r="C1629" i="1"/>
  <c r="E1629" i="1"/>
  <c r="F1629" i="1"/>
  <c r="G1629" i="1"/>
  <c r="H1629" i="1"/>
  <c r="I1629" i="1"/>
  <c r="J1629" i="1"/>
  <c r="K1629" i="1"/>
  <c r="L1629" i="1"/>
  <c r="M1629" i="1"/>
  <c r="N1629" i="1"/>
  <c r="O1629" i="1"/>
  <c r="P1629" i="1"/>
  <c r="Q1629" i="1"/>
  <c r="A1630" i="1"/>
  <c r="B1630" i="1"/>
  <c r="C1630" i="1"/>
  <c r="E1630" i="1"/>
  <c r="F1630" i="1"/>
  <c r="G1630" i="1"/>
  <c r="H1630" i="1"/>
  <c r="I1630" i="1"/>
  <c r="J1630" i="1"/>
  <c r="K1630" i="1"/>
  <c r="L1630" i="1"/>
  <c r="M1630" i="1"/>
  <c r="N1630" i="1"/>
  <c r="O1630" i="1"/>
  <c r="P1630" i="1"/>
  <c r="Q1630" i="1"/>
  <c r="A1631" i="1"/>
  <c r="B1631" i="1"/>
  <c r="C1631" i="1"/>
  <c r="D1631" i="1"/>
  <c r="E1631" i="1"/>
  <c r="F1631" i="1"/>
  <c r="G1631" i="1"/>
  <c r="H1631" i="1"/>
  <c r="I1631" i="1"/>
  <c r="J1631" i="1"/>
  <c r="K1631" i="1"/>
  <c r="L1631" i="1"/>
  <c r="M1631" i="1"/>
  <c r="N1631" i="1"/>
  <c r="O1631" i="1"/>
  <c r="P1631" i="1"/>
  <c r="Q1631" i="1"/>
  <c r="A1632" i="1"/>
  <c r="B1632" i="1"/>
  <c r="C1632" i="1"/>
  <c r="D1632" i="1"/>
  <c r="E1632" i="1"/>
  <c r="F1632" i="1"/>
  <c r="G1632" i="1"/>
  <c r="H1632" i="1"/>
  <c r="I1632" i="1"/>
  <c r="J1632" i="1"/>
  <c r="K1632" i="1"/>
  <c r="L1632" i="1"/>
  <c r="M1632" i="1"/>
  <c r="N1632" i="1"/>
  <c r="O1632" i="1"/>
  <c r="P1632" i="1"/>
  <c r="Q1632" i="1"/>
  <c r="A1633" i="1"/>
  <c r="B1633" i="1"/>
  <c r="C1633" i="1"/>
  <c r="D1633" i="1"/>
  <c r="E1633" i="1"/>
  <c r="F1633" i="1"/>
  <c r="G1633" i="1"/>
  <c r="H1633" i="1"/>
  <c r="I1633" i="1"/>
  <c r="J1633" i="1"/>
  <c r="K1633" i="1"/>
  <c r="L1633" i="1"/>
  <c r="M1633" i="1"/>
  <c r="N1633" i="1"/>
  <c r="O1633" i="1"/>
  <c r="P1633" i="1"/>
  <c r="Q1633" i="1"/>
  <c r="A1634" i="1"/>
  <c r="B1634" i="1"/>
  <c r="C1634" i="1"/>
  <c r="E1634" i="1"/>
  <c r="F1634" i="1"/>
  <c r="G1634" i="1"/>
  <c r="H1634" i="1"/>
  <c r="I1634" i="1"/>
  <c r="J1634" i="1"/>
  <c r="K1634" i="1"/>
  <c r="L1634" i="1"/>
  <c r="M1634" i="1"/>
  <c r="N1634" i="1"/>
  <c r="O1634" i="1"/>
  <c r="P1634" i="1"/>
  <c r="Q1634" i="1"/>
  <c r="A1635" i="1"/>
  <c r="B1635" i="1"/>
  <c r="C1635" i="1"/>
  <c r="D1635" i="1"/>
  <c r="E1635" i="1"/>
  <c r="F1635" i="1"/>
  <c r="G1635" i="1"/>
  <c r="H1635" i="1"/>
  <c r="I1635" i="1"/>
  <c r="J1635" i="1"/>
  <c r="K1635" i="1"/>
  <c r="L1635" i="1"/>
  <c r="M1635" i="1"/>
  <c r="N1635" i="1"/>
  <c r="O1635" i="1"/>
  <c r="P1635" i="1"/>
  <c r="Q1635" i="1"/>
  <c r="A1636" i="1"/>
  <c r="B1636" i="1"/>
  <c r="C1636" i="1"/>
  <c r="D1636" i="1"/>
  <c r="E1636" i="1"/>
  <c r="F1636" i="1"/>
  <c r="G1636" i="1"/>
  <c r="H1636" i="1"/>
  <c r="I1636" i="1"/>
  <c r="J1636" i="1"/>
  <c r="K1636" i="1"/>
  <c r="L1636" i="1"/>
  <c r="M1636" i="1"/>
  <c r="N1636" i="1"/>
  <c r="O1636" i="1"/>
  <c r="P1636" i="1"/>
  <c r="Q1636" i="1"/>
  <c r="A1637" i="1"/>
  <c r="B1637" i="1"/>
  <c r="C1637" i="1"/>
  <c r="D1637" i="1"/>
  <c r="E1637" i="1"/>
  <c r="F1637" i="1"/>
  <c r="G1637" i="1"/>
  <c r="H1637" i="1"/>
  <c r="I1637" i="1"/>
  <c r="J1637" i="1"/>
  <c r="K1637" i="1"/>
  <c r="L1637" i="1"/>
  <c r="M1637" i="1"/>
  <c r="N1637" i="1"/>
  <c r="O1637" i="1"/>
  <c r="P1637" i="1"/>
  <c r="Q1637" i="1"/>
  <c r="A1638" i="1"/>
  <c r="B1638" i="1"/>
  <c r="C1638" i="1"/>
  <c r="E1638" i="1"/>
  <c r="F1638" i="1"/>
  <c r="G1638" i="1"/>
  <c r="H1638" i="1"/>
  <c r="I1638" i="1"/>
  <c r="J1638" i="1"/>
  <c r="K1638" i="1"/>
  <c r="L1638" i="1"/>
  <c r="M1638" i="1"/>
  <c r="N1638" i="1"/>
  <c r="O1638" i="1"/>
  <c r="P1638" i="1"/>
  <c r="Q1638" i="1"/>
  <c r="A1639" i="1"/>
  <c r="B1639" i="1"/>
  <c r="C1639" i="1"/>
  <c r="E1639" i="1"/>
  <c r="F1639" i="1"/>
  <c r="G1639" i="1"/>
  <c r="H1639" i="1"/>
  <c r="I1639" i="1"/>
  <c r="J1639" i="1"/>
  <c r="K1639" i="1"/>
  <c r="L1639" i="1"/>
  <c r="M1639" i="1"/>
  <c r="N1639" i="1"/>
  <c r="O1639" i="1"/>
  <c r="P1639" i="1"/>
  <c r="Q1639" i="1"/>
  <c r="A1640" i="1"/>
  <c r="B1640" i="1"/>
  <c r="C1640" i="1"/>
  <c r="E1640" i="1"/>
  <c r="F1640" i="1"/>
  <c r="G1640" i="1"/>
  <c r="H1640" i="1"/>
  <c r="I1640" i="1"/>
  <c r="J1640" i="1"/>
  <c r="K1640" i="1"/>
  <c r="L1640" i="1"/>
  <c r="M1640" i="1"/>
  <c r="N1640" i="1"/>
  <c r="O1640" i="1"/>
  <c r="P1640" i="1"/>
  <c r="Q1640" i="1"/>
  <c r="A1641" i="1"/>
  <c r="B1641" i="1"/>
  <c r="C1641" i="1"/>
  <c r="D1641" i="1"/>
  <c r="E1641" i="1"/>
  <c r="F1641" i="1"/>
  <c r="G1641" i="1"/>
  <c r="H1641" i="1"/>
  <c r="I1641" i="1"/>
  <c r="J1641" i="1"/>
  <c r="K1641" i="1"/>
  <c r="L1641" i="1"/>
  <c r="M1641" i="1"/>
  <c r="N1641" i="1"/>
  <c r="O1641" i="1"/>
  <c r="P1641" i="1"/>
  <c r="Q1641" i="1"/>
  <c r="A1642" i="1"/>
  <c r="B1642" i="1"/>
  <c r="C1642" i="1"/>
  <c r="D1642" i="1"/>
  <c r="E1642" i="1"/>
  <c r="F1642" i="1"/>
  <c r="G1642" i="1"/>
  <c r="H1642" i="1"/>
  <c r="I1642" i="1"/>
  <c r="J1642" i="1"/>
  <c r="K1642" i="1"/>
  <c r="L1642" i="1"/>
  <c r="M1642" i="1"/>
  <c r="N1642" i="1"/>
  <c r="O1642" i="1"/>
  <c r="P1642" i="1"/>
  <c r="Q1642" i="1"/>
  <c r="A1643" i="1"/>
  <c r="B1643" i="1"/>
  <c r="C1643" i="1"/>
  <c r="D1643" i="1"/>
  <c r="E1643" i="1"/>
  <c r="F1643" i="1"/>
  <c r="G1643" i="1"/>
  <c r="H1643" i="1"/>
  <c r="I1643" i="1"/>
  <c r="J1643" i="1"/>
  <c r="K1643" i="1"/>
  <c r="L1643" i="1"/>
  <c r="M1643" i="1"/>
  <c r="N1643" i="1"/>
  <c r="O1643" i="1"/>
  <c r="P1643" i="1"/>
  <c r="Q1643" i="1"/>
  <c r="A1644" i="1"/>
  <c r="B1644" i="1"/>
  <c r="C1644" i="1"/>
  <c r="E1644" i="1"/>
  <c r="F1644" i="1"/>
  <c r="G1644" i="1"/>
  <c r="H1644" i="1"/>
  <c r="I1644" i="1"/>
  <c r="J1644" i="1"/>
  <c r="K1644" i="1"/>
  <c r="L1644" i="1"/>
  <c r="M1644" i="1"/>
  <c r="N1644" i="1"/>
  <c r="O1644" i="1"/>
  <c r="P1644" i="1"/>
  <c r="Q1644" i="1"/>
  <c r="A1645" i="1"/>
  <c r="B1645" i="1"/>
  <c r="C1645" i="1"/>
  <c r="D1645" i="1"/>
  <c r="E1645" i="1"/>
  <c r="F1645" i="1"/>
  <c r="G1645" i="1"/>
  <c r="H1645" i="1"/>
  <c r="I1645" i="1"/>
  <c r="J1645" i="1"/>
  <c r="K1645" i="1"/>
  <c r="L1645" i="1"/>
  <c r="M1645" i="1"/>
  <c r="N1645" i="1"/>
  <c r="O1645" i="1"/>
  <c r="P1645" i="1"/>
  <c r="Q1645" i="1"/>
  <c r="A1646" i="1"/>
  <c r="B1646" i="1"/>
  <c r="C1646" i="1"/>
  <c r="D1646" i="1"/>
  <c r="E1646" i="1"/>
  <c r="F1646" i="1"/>
  <c r="G1646" i="1"/>
  <c r="H1646" i="1"/>
  <c r="I1646" i="1"/>
  <c r="J1646" i="1"/>
  <c r="K1646" i="1"/>
  <c r="L1646" i="1"/>
  <c r="M1646" i="1"/>
  <c r="N1646" i="1"/>
  <c r="O1646" i="1"/>
  <c r="P1646" i="1"/>
  <c r="Q1646" i="1"/>
  <c r="A1647" i="1"/>
  <c r="B1647" i="1"/>
  <c r="C1647" i="1"/>
  <c r="D1647" i="1"/>
  <c r="E1647" i="1"/>
  <c r="F1647" i="1"/>
  <c r="G1647" i="1"/>
  <c r="H1647" i="1"/>
  <c r="I1647" i="1"/>
  <c r="J1647" i="1"/>
  <c r="K1647" i="1"/>
  <c r="L1647" i="1"/>
  <c r="M1647" i="1"/>
  <c r="N1647" i="1"/>
  <c r="O1647" i="1"/>
  <c r="P1647" i="1"/>
  <c r="Q1647" i="1"/>
  <c r="A1648" i="1"/>
  <c r="B1648" i="1"/>
  <c r="C1648" i="1"/>
  <c r="D1648" i="1"/>
  <c r="E1648" i="1"/>
  <c r="F1648" i="1"/>
  <c r="G1648" i="1"/>
  <c r="H1648" i="1"/>
  <c r="I1648" i="1"/>
  <c r="J1648" i="1"/>
  <c r="K1648" i="1"/>
  <c r="L1648" i="1"/>
  <c r="M1648" i="1"/>
  <c r="N1648" i="1"/>
  <c r="O1648" i="1"/>
  <c r="P1648" i="1"/>
  <c r="Q1648" i="1"/>
  <c r="A1649" i="1"/>
  <c r="B1649" i="1"/>
  <c r="C1649" i="1"/>
  <c r="D1649" i="1"/>
  <c r="E1649" i="1"/>
  <c r="F1649" i="1"/>
  <c r="G1649" i="1"/>
  <c r="H1649" i="1"/>
  <c r="I1649" i="1"/>
  <c r="J1649" i="1"/>
  <c r="K1649" i="1"/>
  <c r="L1649" i="1"/>
  <c r="M1649" i="1"/>
  <c r="N1649" i="1"/>
  <c r="O1649" i="1"/>
  <c r="P1649" i="1"/>
  <c r="Q1649" i="1"/>
  <c r="A1650" i="1"/>
  <c r="B1650" i="1"/>
  <c r="C1650" i="1"/>
  <c r="D1650" i="1"/>
  <c r="E1650" i="1"/>
  <c r="F1650" i="1"/>
  <c r="G1650" i="1"/>
  <c r="H1650" i="1"/>
  <c r="I1650" i="1"/>
  <c r="J1650" i="1"/>
  <c r="K1650" i="1"/>
  <c r="L1650" i="1"/>
  <c r="M1650" i="1"/>
  <c r="N1650" i="1"/>
  <c r="O1650" i="1"/>
  <c r="P1650" i="1"/>
  <c r="Q1650" i="1"/>
  <c r="A1651" i="1"/>
  <c r="B1651" i="1"/>
  <c r="C1651" i="1"/>
  <c r="D1651" i="1"/>
  <c r="E1651" i="1"/>
  <c r="F1651" i="1"/>
  <c r="G1651" i="1"/>
  <c r="H1651" i="1"/>
  <c r="I1651" i="1"/>
  <c r="J1651" i="1"/>
  <c r="K1651" i="1"/>
  <c r="L1651" i="1"/>
  <c r="M1651" i="1"/>
  <c r="N1651" i="1"/>
  <c r="O1651" i="1"/>
  <c r="P1651" i="1"/>
  <c r="Q1651" i="1"/>
  <c r="A1652" i="1"/>
  <c r="B1652" i="1"/>
  <c r="C1652" i="1"/>
  <c r="D1652" i="1"/>
  <c r="E1652" i="1"/>
  <c r="F1652" i="1"/>
  <c r="G1652" i="1"/>
  <c r="H1652" i="1"/>
  <c r="I1652" i="1"/>
  <c r="J1652" i="1"/>
  <c r="K1652" i="1"/>
  <c r="L1652" i="1"/>
  <c r="M1652" i="1"/>
  <c r="N1652" i="1"/>
  <c r="O1652" i="1"/>
  <c r="P1652" i="1"/>
  <c r="Q1652" i="1"/>
  <c r="A1653" i="1"/>
  <c r="B1653" i="1"/>
  <c r="C1653" i="1"/>
  <c r="D1653" i="1"/>
  <c r="E1653" i="1"/>
  <c r="F1653" i="1"/>
  <c r="G1653" i="1"/>
  <c r="H1653" i="1"/>
  <c r="I1653" i="1"/>
  <c r="J1653" i="1"/>
  <c r="K1653" i="1"/>
  <c r="L1653" i="1"/>
  <c r="M1653" i="1"/>
  <c r="N1653" i="1"/>
  <c r="O1653" i="1"/>
  <c r="P1653" i="1"/>
  <c r="Q1653" i="1"/>
  <c r="A1654" i="1"/>
  <c r="B1654" i="1"/>
  <c r="C1654" i="1"/>
  <c r="D1654" i="1"/>
  <c r="E1654" i="1"/>
  <c r="F1654" i="1"/>
  <c r="G1654" i="1"/>
  <c r="H1654" i="1"/>
  <c r="I1654" i="1"/>
  <c r="J1654" i="1"/>
  <c r="K1654" i="1"/>
  <c r="L1654" i="1"/>
  <c r="M1654" i="1"/>
  <c r="N1654" i="1"/>
  <c r="O1654" i="1"/>
  <c r="P1654" i="1"/>
  <c r="Q1654" i="1"/>
  <c r="A1655" i="1"/>
  <c r="B1655" i="1"/>
  <c r="C1655" i="1"/>
  <c r="D1655" i="1"/>
  <c r="E1655" i="1"/>
  <c r="F1655" i="1"/>
  <c r="G1655" i="1"/>
  <c r="H1655" i="1"/>
  <c r="I1655" i="1"/>
  <c r="J1655" i="1"/>
  <c r="K1655" i="1"/>
  <c r="L1655" i="1"/>
  <c r="M1655" i="1"/>
  <c r="N1655" i="1"/>
  <c r="O1655" i="1"/>
  <c r="P1655" i="1"/>
  <c r="Q1655" i="1"/>
  <c r="A1656" i="1"/>
  <c r="B1656" i="1"/>
  <c r="C1656" i="1"/>
  <c r="D1656" i="1"/>
  <c r="E1656" i="1"/>
  <c r="F1656" i="1"/>
  <c r="G1656" i="1"/>
  <c r="H1656" i="1"/>
  <c r="I1656" i="1"/>
  <c r="J1656" i="1"/>
  <c r="K1656" i="1"/>
  <c r="L1656" i="1"/>
  <c r="M1656" i="1"/>
  <c r="N1656" i="1"/>
  <c r="O1656" i="1"/>
  <c r="P1656" i="1"/>
  <c r="Q1656" i="1"/>
  <c r="A1657" i="1"/>
  <c r="B1657" i="1"/>
  <c r="C1657" i="1"/>
  <c r="D1657" i="1"/>
  <c r="E1657" i="1"/>
  <c r="F1657" i="1"/>
  <c r="G1657" i="1"/>
  <c r="H1657" i="1"/>
  <c r="I1657" i="1"/>
  <c r="J1657" i="1"/>
  <c r="K1657" i="1"/>
  <c r="L1657" i="1"/>
  <c r="M1657" i="1"/>
  <c r="N1657" i="1"/>
  <c r="O1657" i="1"/>
  <c r="P1657" i="1"/>
  <c r="Q1657" i="1"/>
  <c r="A1658" i="1"/>
  <c r="B1658" i="1"/>
  <c r="C1658" i="1"/>
  <c r="D1658" i="1"/>
  <c r="E1658" i="1"/>
  <c r="F1658" i="1"/>
  <c r="G1658" i="1"/>
  <c r="H1658" i="1"/>
  <c r="I1658" i="1"/>
  <c r="J1658" i="1"/>
  <c r="K1658" i="1"/>
  <c r="L1658" i="1"/>
  <c r="M1658" i="1"/>
  <c r="N1658" i="1"/>
  <c r="O1658" i="1"/>
  <c r="P1658" i="1"/>
  <c r="Q1658" i="1"/>
  <c r="A1659" i="1"/>
  <c r="B1659" i="1"/>
  <c r="C1659" i="1"/>
  <c r="D1659" i="1"/>
  <c r="E1659" i="1"/>
  <c r="F1659" i="1"/>
  <c r="G1659" i="1"/>
  <c r="H1659" i="1"/>
  <c r="I1659" i="1"/>
  <c r="J1659" i="1"/>
  <c r="K1659" i="1"/>
  <c r="L1659" i="1"/>
  <c r="M1659" i="1"/>
  <c r="N1659" i="1"/>
  <c r="O1659" i="1"/>
  <c r="P1659" i="1"/>
  <c r="Q1659" i="1"/>
  <c r="A1660" i="1"/>
  <c r="B1660" i="1"/>
  <c r="C1660" i="1"/>
  <c r="D1660" i="1"/>
  <c r="E1660" i="1"/>
  <c r="F1660" i="1"/>
  <c r="G1660" i="1"/>
  <c r="H1660" i="1"/>
  <c r="I1660" i="1"/>
  <c r="J1660" i="1"/>
  <c r="K1660" i="1"/>
  <c r="L1660" i="1"/>
  <c r="M1660" i="1"/>
  <c r="N1660" i="1"/>
  <c r="O1660" i="1"/>
  <c r="P1660" i="1"/>
  <c r="Q1660" i="1"/>
  <c r="A1661" i="1"/>
  <c r="B1661" i="1"/>
  <c r="C1661" i="1"/>
  <c r="D1661" i="1"/>
  <c r="E1661" i="1"/>
  <c r="F1661" i="1"/>
  <c r="G1661" i="1"/>
  <c r="H1661" i="1"/>
  <c r="I1661" i="1"/>
  <c r="J1661" i="1"/>
  <c r="K1661" i="1"/>
  <c r="L1661" i="1"/>
  <c r="M1661" i="1"/>
  <c r="N1661" i="1"/>
  <c r="O1661" i="1"/>
  <c r="P1661" i="1"/>
  <c r="Q1661" i="1"/>
  <c r="A1662" i="1"/>
  <c r="B1662" i="1"/>
  <c r="C1662" i="1"/>
  <c r="D1662" i="1"/>
  <c r="E1662" i="1"/>
  <c r="F1662" i="1"/>
  <c r="G1662" i="1"/>
  <c r="H1662" i="1"/>
  <c r="I1662" i="1"/>
  <c r="J1662" i="1"/>
  <c r="K1662" i="1"/>
  <c r="L1662" i="1"/>
  <c r="M1662" i="1"/>
  <c r="N1662" i="1"/>
  <c r="O1662" i="1"/>
  <c r="P1662" i="1"/>
  <c r="Q1662" i="1"/>
  <c r="A1663" i="1"/>
  <c r="B1663" i="1"/>
  <c r="C1663" i="1"/>
  <c r="D1663" i="1"/>
  <c r="E1663" i="1"/>
  <c r="F1663" i="1"/>
  <c r="G1663" i="1"/>
  <c r="H1663" i="1"/>
  <c r="I1663" i="1"/>
  <c r="J1663" i="1"/>
  <c r="K1663" i="1"/>
  <c r="L1663" i="1"/>
  <c r="M1663" i="1"/>
  <c r="N1663" i="1"/>
  <c r="O1663" i="1"/>
  <c r="P1663" i="1"/>
  <c r="Q1663" i="1"/>
  <c r="A1664" i="1"/>
  <c r="B1664" i="1"/>
  <c r="C1664" i="1"/>
  <c r="D1664" i="1"/>
  <c r="E1664" i="1"/>
  <c r="F1664" i="1"/>
  <c r="G1664" i="1"/>
  <c r="H1664" i="1"/>
  <c r="I1664" i="1"/>
  <c r="J1664" i="1"/>
  <c r="K1664" i="1"/>
  <c r="L1664" i="1"/>
  <c r="M1664" i="1"/>
  <c r="N1664" i="1"/>
  <c r="O1664" i="1"/>
  <c r="P1664" i="1"/>
  <c r="Q1664" i="1"/>
  <c r="A1665" i="1"/>
  <c r="B1665" i="1"/>
  <c r="C1665" i="1"/>
  <c r="D1665" i="1"/>
  <c r="E1665" i="1"/>
  <c r="F1665" i="1"/>
  <c r="G1665" i="1"/>
  <c r="H1665" i="1"/>
  <c r="I1665" i="1"/>
  <c r="J1665" i="1"/>
  <c r="K1665" i="1"/>
  <c r="L1665" i="1"/>
  <c r="M1665" i="1"/>
  <c r="N1665" i="1"/>
  <c r="O1665" i="1"/>
  <c r="P1665" i="1"/>
  <c r="Q1665" i="1"/>
  <c r="A1666" i="1"/>
  <c r="B1666" i="1"/>
  <c r="C1666" i="1"/>
  <c r="D1666" i="1"/>
  <c r="E1666" i="1"/>
  <c r="F1666" i="1"/>
  <c r="G1666" i="1"/>
  <c r="H1666" i="1"/>
  <c r="I1666" i="1"/>
  <c r="J1666" i="1"/>
  <c r="K1666" i="1"/>
  <c r="L1666" i="1"/>
  <c r="M1666" i="1"/>
  <c r="N1666" i="1"/>
  <c r="O1666" i="1"/>
  <c r="P1666" i="1"/>
  <c r="Q1666" i="1"/>
  <c r="A1667" i="1"/>
  <c r="B1667" i="1"/>
  <c r="C1667" i="1"/>
  <c r="D1667" i="1"/>
  <c r="E1667" i="1"/>
  <c r="F1667" i="1"/>
  <c r="G1667" i="1"/>
  <c r="H1667" i="1"/>
  <c r="I1667" i="1"/>
  <c r="J1667" i="1"/>
  <c r="K1667" i="1"/>
  <c r="L1667" i="1"/>
  <c r="M1667" i="1"/>
  <c r="N1667" i="1"/>
  <c r="O1667" i="1"/>
  <c r="P1667" i="1"/>
  <c r="Q1667" i="1"/>
  <c r="A1668" i="1"/>
  <c r="B1668" i="1"/>
  <c r="C1668" i="1"/>
  <c r="D1668" i="1"/>
  <c r="E1668" i="1"/>
  <c r="F1668" i="1"/>
  <c r="G1668" i="1"/>
  <c r="H1668" i="1"/>
  <c r="I1668" i="1"/>
  <c r="J1668" i="1"/>
  <c r="K1668" i="1"/>
  <c r="L1668" i="1"/>
  <c r="M1668" i="1"/>
  <c r="N1668" i="1"/>
  <c r="O1668" i="1"/>
  <c r="P1668" i="1"/>
  <c r="Q1668" i="1"/>
  <c r="A1669" i="1"/>
  <c r="B1669" i="1"/>
  <c r="C1669" i="1"/>
  <c r="D1669" i="1"/>
  <c r="E1669" i="1"/>
  <c r="F1669" i="1"/>
  <c r="G1669" i="1"/>
  <c r="H1669" i="1"/>
  <c r="I1669" i="1"/>
  <c r="J1669" i="1"/>
  <c r="K1669" i="1"/>
  <c r="L1669" i="1"/>
  <c r="M1669" i="1"/>
  <c r="N1669" i="1"/>
  <c r="O1669" i="1"/>
  <c r="P1669" i="1"/>
  <c r="Q1669" i="1"/>
  <c r="A1670" i="1"/>
  <c r="B1670" i="1"/>
  <c r="C1670" i="1"/>
  <c r="D1670" i="1"/>
  <c r="E1670" i="1"/>
  <c r="F1670" i="1"/>
  <c r="G1670" i="1"/>
  <c r="H1670" i="1"/>
  <c r="I1670" i="1"/>
  <c r="J1670" i="1"/>
  <c r="K1670" i="1"/>
  <c r="L1670" i="1"/>
  <c r="M1670" i="1"/>
  <c r="N1670" i="1"/>
  <c r="O1670" i="1"/>
  <c r="P1670" i="1"/>
  <c r="Q1670" i="1"/>
  <c r="A1671" i="1"/>
  <c r="B1671" i="1"/>
  <c r="C1671" i="1"/>
  <c r="D1671" i="1"/>
  <c r="E1671" i="1"/>
  <c r="F1671" i="1"/>
  <c r="G1671" i="1"/>
  <c r="H1671" i="1"/>
  <c r="I1671" i="1"/>
  <c r="J1671" i="1"/>
  <c r="K1671" i="1"/>
  <c r="L1671" i="1"/>
  <c r="M1671" i="1"/>
  <c r="N1671" i="1"/>
  <c r="O1671" i="1"/>
  <c r="P1671" i="1"/>
  <c r="Q1671" i="1"/>
  <c r="A1672" i="1"/>
  <c r="B1672" i="1"/>
  <c r="C1672" i="1"/>
  <c r="D1672" i="1"/>
  <c r="E1672" i="1"/>
  <c r="F1672" i="1"/>
  <c r="G1672" i="1"/>
  <c r="H1672" i="1"/>
  <c r="I1672" i="1"/>
  <c r="J1672" i="1"/>
  <c r="K1672" i="1"/>
  <c r="L1672" i="1"/>
  <c r="M1672" i="1"/>
  <c r="N1672" i="1"/>
  <c r="O1672" i="1"/>
  <c r="P1672" i="1"/>
  <c r="Q1672" i="1"/>
  <c r="A1673" i="1"/>
  <c r="B1673" i="1"/>
  <c r="C1673" i="1"/>
  <c r="D1673" i="1"/>
  <c r="E1673" i="1"/>
  <c r="F1673" i="1"/>
  <c r="G1673" i="1"/>
  <c r="H1673" i="1"/>
  <c r="I1673" i="1"/>
  <c r="J1673" i="1"/>
  <c r="K1673" i="1"/>
  <c r="L1673" i="1"/>
  <c r="M1673" i="1"/>
  <c r="N1673" i="1"/>
  <c r="O1673" i="1"/>
  <c r="P1673" i="1"/>
  <c r="Q1673" i="1"/>
  <c r="A1674" i="1"/>
  <c r="B1674" i="1"/>
  <c r="C1674" i="1"/>
  <c r="D1674" i="1"/>
  <c r="E1674" i="1"/>
  <c r="F1674" i="1"/>
  <c r="G1674" i="1"/>
  <c r="H1674" i="1"/>
  <c r="I1674" i="1"/>
  <c r="J1674" i="1"/>
  <c r="K1674" i="1"/>
  <c r="L1674" i="1"/>
  <c r="M1674" i="1"/>
  <c r="N1674" i="1"/>
  <c r="O1674" i="1"/>
  <c r="P1674" i="1"/>
  <c r="Q1674" i="1"/>
  <c r="A1675" i="1"/>
  <c r="B1675" i="1"/>
  <c r="C1675" i="1"/>
  <c r="D1675" i="1"/>
  <c r="E1675" i="1"/>
  <c r="F1675" i="1"/>
  <c r="G1675" i="1"/>
  <c r="H1675" i="1"/>
  <c r="I1675" i="1"/>
  <c r="J1675" i="1"/>
  <c r="K1675" i="1"/>
  <c r="L1675" i="1"/>
  <c r="M1675" i="1"/>
  <c r="N1675" i="1"/>
  <c r="O1675" i="1"/>
  <c r="P1675" i="1"/>
  <c r="Q1675" i="1"/>
  <c r="A1676" i="1"/>
  <c r="B1676" i="1"/>
  <c r="C1676" i="1"/>
  <c r="D1676" i="1"/>
  <c r="E1676" i="1"/>
  <c r="F1676" i="1"/>
  <c r="G1676" i="1"/>
  <c r="H1676" i="1"/>
  <c r="I1676" i="1"/>
  <c r="J1676" i="1"/>
  <c r="K1676" i="1"/>
  <c r="L1676" i="1"/>
  <c r="M1676" i="1"/>
  <c r="N1676" i="1"/>
  <c r="O1676" i="1"/>
  <c r="P1676" i="1"/>
  <c r="Q1676" i="1"/>
  <c r="A1677" i="1"/>
  <c r="B1677" i="1"/>
  <c r="C1677" i="1"/>
  <c r="D1677" i="1"/>
  <c r="E1677" i="1"/>
  <c r="F1677" i="1"/>
  <c r="G1677" i="1"/>
  <c r="H1677" i="1"/>
  <c r="I1677" i="1"/>
  <c r="J1677" i="1"/>
  <c r="K1677" i="1"/>
  <c r="L1677" i="1"/>
  <c r="M1677" i="1"/>
  <c r="N1677" i="1"/>
  <c r="O1677" i="1"/>
  <c r="P1677" i="1"/>
  <c r="Q1677" i="1"/>
  <c r="A1678" i="1"/>
  <c r="B1678" i="1"/>
  <c r="C1678" i="1"/>
  <c r="D1678" i="1"/>
  <c r="E1678" i="1"/>
  <c r="F1678" i="1"/>
  <c r="G1678" i="1"/>
  <c r="H1678" i="1"/>
  <c r="I1678" i="1"/>
  <c r="J1678" i="1"/>
  <c r="K1678" i="1"/>
  <c r="L1678" i="1"/>
  <c r="M1678" i="1"/>
  <c r="N1678" i="1"/>
  <c r="O1678" i="1"/>
  <c r="P1678" i="1"/>
  <c r="Q1678" i="1"/>
  <c r="A1679" i="1"/>
  <c r="B1679" i="1"/>
  <c r="C1679" i="1"/>
  <c r="D1679" i="1"/>
  <c r="E1679" i="1"/>
  <c r="F1679" i="1"/>
  <c r="G1679" i="1"/>
  <c r="H1679" i="1"/>
  <c r="I1679" i="1"/>
  <c r="J1679" i="1"/>
  <c r="K1679" i="1"/>
  <c r="L1679" i="1"/>
  <c r="M1679" i="1"/>
  <c r="N1679" i="1"/>
  <c r="O1679" i="1"/>
  <c r="P1679" i="1"/>
  <c r="Q1679" i="1"/>
  <c r="A1680" i="1"/>
  <c r="B1680" i="1"/>
  <c r="C1680" i="1"/>
  <c r="D1680" i="1"/>
  <c r="E1680" i="1"/>
  <c r="F1680" i="1"/>
  <c r="G1680" i="1"/>
  <c r="H1680" i="1"/>
  <c r="I1680" i="1"/>
  <c r="J1680" i="1"/>
  <c r="K1680" i="1"/>
  <c r="L1680" i="1"/>
  <c r="M1680" i="1"/>
  <c r="N1680" i="1"/>
  <c r="O1680" i="1"/>
  <c r="P1680" i="1"/>
  <c r="Q1680" i="1"/>
  <c r="A1681" i="1"/>
  <c r="B1681" i="1"/>
  <c r="C1681" i="1"/>
  <c r="D1681" i="1"/>
  <c r="E1681" i="1"/>
  <c r="F1681" i="1"/>
  <c r="G1681" i="1"/>
  <c r="H1681" i="1"/>
  <c r="I1681" i="1"/>
  <c r="J1681" i="1"/>
  <c r="K1681" i="1"/>
  <c r="L1681" i="1"/>
  <c r="M1681" i="1"/>
  <c r="N1681" i="1"/>
  <c r="O1681" i="1"/>
  <c r="P1681" i="1"/>
  <c r="Q1681" i="1"/>
  <c r="A1682" i="1"/>
  <c r="B1682" i="1"/>
  <c r="C1682" i="1"/>
  <c r="D1682" i="1"/>
  <c r="E1682" i="1"/>
  <c r="F1682" i="1"/>
  <c r="G1682" i="1"/>
  <c r="H1682" i="1"/>
  <c r="I1682" i="1"/>
  <c r="J1682" i="1"/>
  <c r="K1682" i="1"/>
  <c r="L1682" i="1"/>
  <c r="M1682" i="1"/>
  <c r="N1682" i="1"/>
  <c r="O1682" i="1"/>
  <c r="P1682" i="1"/>
  <c r="Q1682" i="1"/>
  <c r="A1683" i="1"/>
  <c r="B1683" i="1"/>
  <c r="C1683" i="1"/>
  <c r="D1683" i="1"/>
  <c r="E1683" i="1"/>
  <c r="F1683" i="1"/>
  <c r="G1683" i="1"/>
  <c r="H1683" i="1"/>
  <c r="I1683" i="1"/>
  <c r="J1683" i="1"/>
  <c r="K1683" i="1"/>
  <c r="L1683" i="1"/>
  <c r="M1683" i="1"/>
  <c r="N1683" i="1"/>
  <c r="O1683" i="1"/>
  <c r="P1683" i="1"/>
  <c r="Q1683" i="1"/>
  <c r="A1684" i="1"/>
  <c r="B1684" i="1"/>
  <c r="C1684" i="1"/>
  <c r="D1684" i="1"/>
  <c r="E1684" i="1"/>
  <c r="F1684" i="1"/>
  <c r="G1684" i="1"/>
  <c r="H1684" i="1"/>
  <c r="I1684" i="1"/>
  <c r="J1684" i="1"/>
  <c r="K1684" i="1"/>
  <c r="L1684" i="1"/>
  <c r="M1684" i="1"/>
  <c r="N1684" i="1"/>
  <c r="O1684" i="1"/>
  <c r="P1684" i="1"/>
  <c r="Q1684" i="1"/>
  <c r="A1685" i="1"/>
  <c r="B1685" i="1"/>
  <c r="C1685" i="1"/>
  <c r="D1685" i="1"/>
  <c r="E1685" i="1"/>
  <c r="F1685" i="1"/>
  <c r="G1685" i="1"/>
  <c r="H1685" i="1"/>
  <c r="I1685" i="1"/>
  <c r="J1685" i="1"/>
  <c r="K1685" i="1"/>
  <c r="L1685" i="1"/>
  <c r="M1685" i="1"/>
  <c r="N1685" i="1"/>
  <c r="O1685" i="1"/>
  <c r="P1685" i="1"/>
  <c r="Q1685" i="1"/>
  <c r="A1686" i="1"/>
  <c r="B1686" i="1"/>
  <c r="C1686" i="1"/>
  <c r="D1686" i="1"/>
  <c r="E1686" i="1"/>
  <c r="F1686" i="1"/>
  <c r="G1686" i="1"/>
  <c r="H1686" i="1"/>
  <c r="I1686" i="1"/>
  <c r="J1686" i="1"/>
  <c r="K1686" i="1"/>
  <c r="L1686" i="1"/>
  <c r="M1686" i="1"/>
  <c r="N1686" i="1"/>
  <c r="O1686" i="1"/>
  <c r="P1686" i="1"/>
  <c r="Q1686" i="1"/>
  <c r="A1687" i="1"/>
  <c r="B1687" i="1"/>
  <c r="C1687" i="1"/>
  <c r="D1687" i="1"/>
  <c r="E1687" i="1"/>
  <c r="F1687" i="1"/>
  <c r="G1687" i="1"/>
  <c r="H1687" i="1"/>
  <c r="I1687" i="1"/>
  <c r="J1687" i="1"/>
  <c r="K1687" i="1"/>
  <c r="L1687" i="1"/>
  <c r="M1687" i="1"/>
  <c r="N1687" i="1"/>
  <c r="O1687" i="1"/>
  <c r="P1687" i="1"/>
  <c r="Q1687" i="1"/>
  <c r="A1688" i="1"/>
  <c r="B1688" i="1"/>
  <c r="C1688" i="1"/>
  <c r="D1688" i="1"/>
  <c r="E1688" i="1"/>
  <c r="F1688" i="1"/>
  <c r="G1688" i="1"/>
  <c r="H1688" i="1"/>
  <c r="I1688" i="1"/>
  <c r="J1688" i="1"/>
  <c r="K1688" i="1"/>
  <c r="L1688" i="1"/>
  <c r="M1688" i="1"/>
  <c r="N1688" i="1"/>
  <c r="O1688" i="1"/>
  <c r="P1688" i="1"/>
  <c r="Q1688" i="1"/>
  <c r="A1689" i="1"/>
  <c r="B1689" i="1"/>
  <c r="C1689" i="1"/>
  <c r="D1689" i="1"/>
  <c r="E1689" i="1"/>
  <c r="F1689" i="1"/>
  <c r="G1689" i="1"/>
  <c r="H1689" i="1"/>
  <c r="I1689" i="1"/>
  <c r="J1689" i="1"/>
  <c r="K1689" i="1"/>
  <c r="L1689" i="1"/>
  <c r="M1689" i="1"/>
  <c r="N1689" i="1"/>
  <c r="O1689" i="1"/>
  <c r="P1689" i="1"/>
  <c r="Q1689" i="1"/>
  <c r="A1690" i="1"/>
  <c r="B1690" i="1"/>
  <c r="C1690" i="1"/>
  <c r="D1690" i="1"/>
  <c r="E1690" i="1"/>
  <c r="F1690" i="1"/>
  <c r="G1690" i="1"/>
  <c r="H1690" i="1"/>
  <c r="I1690" i="1"/>
  <c r="J1690" i="1"/>
  <c r="K1690" i="1"/>
  <c r="L1690" i="1"/>
  <c r="M1690" i="1"/>
  <c r="N1690" i="1"/>
  <c r="O1690" i="1"/>
  <c r="P1690" i="1"/>
  <c r="Q1690" i="1"/>
  <c r="A1691" i="1"/>
  <c r="B1691" i="1"/>
  <c r="C1691" i="1"/>
  <c r="D1691" i="1"/>
  <c r="E1691" i="1"/>
  <c r="F1691" i="1"/>
  <c r="G1691" i="1"/>
  <c r="H1691" i="1"/>
  <c r="I1691" i="1"/>
  <c r="J1691" i="1"/>
  <c r="K1691" i="1"/>
  <c r="L1691" i="1"/>
  <c r="M1691" i="1"/>
  <c r="N1691" i="1"/>
  <c r="O1691" i="1"/>
  <c r="P1691" i="1"/>
  <c r="Q1691" i="1"/>
  <c r="A1692" i="1"/>
  <c r="B1692" i="1"/>
  <c r="C1692" i="1"/>
  <c r="D1692" i="1"/>
  <c r="E1692" i="1"/>
  <c r="F1692" i="1"/>
  <c r="G1692" i="1"/>
  <c r="H1692" i="1"/>
  <c r="I1692" i="1"/>
  <c r="J1692" i="1"/>
  <c r="K1692" i="1"/>
  <c r="L1692" i="1"/>
  <c r="M1692" i="1"/>
  <c r="N1692" i="1"/>
  <c r="O1692" i="1"/>
  <c r="P1692" i="1"/>
  <c r="Q1692" i="1"/>
  <c r="A1693" i="1"/>
  <c r="B1693" i="1"/>
  <c r="C1693" i="1"/>
  <c r="D1693" i="1"/>
  <c r="E1693" i="1"/>
  <c r="F1693" i="1"/>
  <c r="G1693" i="1"/>
  <c r="H1693" i="1"/>
  <c r="I1693" i="1"/>
  <c r="J1693" i="1"/>
  <c r="K1693" i="1"/>
  <c r="L1693" i="1"/>
  <c r="M1693" i="1"/>
  <c r="N1693" i="1"/>
  <c r="O1693" i="1"/>
  <c r="P1693" i="1"/>
  <c r="Q1693" i="1"/>
  <c r="A1694" i="1"/>
  <c r="B1694" i="1"/>
  <c r="C1694" i="1"/>
  <c r="D1694" i="1"/>
  <c r="E1694" i="1"/>
  <c r="F1694" i="1"/>
  <c r="G1694" i="1"/>
  <c r="H1694" i="1"/>
  <c r="I1694" i="1"/>
  <c r="J1694" i="1"/>
  <c r="K1694" i="1"/>
  <c r="L1694" i="1"/>
  <c r="M1694" i="1"/>
  <c r="N1694" i="1"/>
  <c r="O1694" i="1"/>
  <c r="P1694" i="1"/>
  <c r="Q1694" i="1"/>
  <c r="A1695" i="1"/>
  <c r="B1695" i="1"/>
  <c r="C1695" i="1"/>
  <c r="D1695" i="1"/>
  <c r="E1695" i="1"/>
  <c r="F1695" i="1"/>
  <c r="G1695" i="1"/>
  <c r="H1695" i="1"/>
  <c r="I1695" i="1"/>
  <c r="J1695" i="1"/>
  <c r="K1695" i="1"/>
  <c r="L1695" i="1"/>
  <c r="M1695" i="1"/>
  <c r="N1695" i="1"/>
  <c r="O1695" i="1"/>
  <c r="P1695" i="1"/>
  <c r="Q1695" i="1"/>
  <c r="A1696" i="1"/>
  <c r="B1696" i="1"/>
  <c r="C1696" i="1"/>
  <c r="D1696" i="1"/>
  <c r="E1696" i="1"/>
  <c r="F1696" i="1"/>
  <c r="G1696" i="1"/>
  <c r="H1696" i="1"/>
  <c r="I1696" i="1"/>
  <c r="J1696" i="1"/>
  <c r="K1696" i="1"/>
  <c r="L1696" i="1"/>
  <c r="M1696" i="1"/>
  <c r="N1696" i="1"/>
  <c r="O1696" i="1"/>
  <c r="P1696" i="1"/>
  <c r="Q1696" i="1"/>
  <c r="A1697" i="1"/>
  <c r="B1697" i="1"/>
  <c r="C1697" i="1"/>
  <c r="D1697" i="1"/>
  <c r="E1697" i="1"/>
  <c r="F1697" i="1"/>
  <c r="G1697" i="1"/>
  <c r="H1697" i="1"/>
  <c r="I1697" i="1"/>
  <c r="J1697" i="1"/>
  <c r="K1697" i="1"/>
  <c r="L1697" i="1"/>
  <c r="M1697" i="1"/>
  <c r="N1697" i="1"/>
  <c r="O1697" i="1"/>
  <c r="P1697" i="1"/>
  <c r="Q1697" i="1"/>
  <c r="A1698" i="1"/>
  <c r="B1698" i="1"/>
  <c r="C1698" i="1"/>
  <c r="D1698" i="1"/>
  <c r="E1698" i="1"/>
  <c r="F1698" i="1"/>
  <c r="G1698" i="1"/>
  <c r="H1698" i="1"/>
  <c r="I1698" i="1"/>
  <c r="J1698" i="1"/>
  <c r="K1698" i="1"/>
  <c r="L1698" i="1"/>
  <c r="M1698" i="1"/>
  <c r="N1698" i="1"/>
  <c r="O1698" i="1"/>
  <c r="P1698" i="1"/>
  <c r="Q1698" i="1"/>
  <c r="A1699" i="1"/>
  <c r="B1699" i="1"/>
  <c r="C1699" i="1"/>
  <c r="D1699" i="1"/>
  <c r="E1699" i="1"/>
  <c r="F1699" i="1"/>
  <c r="G1699" i="1"/>
  <c r="H1699" i="1"/>
  <c r="I1699" i="1"/>
  <c r="J1699" i="1"/>
  <c r="K1699" i="1"/>
  <c r="L1699" i="1"/>
  <c r="M1699" i="1"/>
  <c r="N1699" i="1"/>
  <c r="O1699" i="1"/>
  <c r="P1699" i="1"/>
  <c r="Q1699" i="1"/>
  <c r="A1700" i="1"/>
  <c r="B1700" i="1"/>
  <c r="C1700" i="1"/>
  <c r="D1700" i="1"/>
  <c r="E1700" i="1"/>
  <c r="F1700" i="1"/>
  <c r="G1700" i="1"/>
  <c r="H1700" i="1"/>
  <c r="I1700" i="1"/>
  <c r="J1700" i="1"/>
  <c r="K1700" i="1"/>
  <c r="L1700" i="1"/>
  <c r="M1700" i="1"/>
  <c r="N1700" i="1"/>
  <c r="O1700" i="1"/>
  <c r="P1700" i="1"/>
  <c r="Q1700" i="1"/>
  <c r="A1701" i="1"/>
  <c r="B1701" i="1"/>
  <c r="C1701" i="1"/>
  <c r="D1701" i="1"/>
  <c r="E1701" i="1"/>
  <c r="F1701" i="1"/>
  <c r="G1701" i="1"/>
  <c r="H1701" i="1"/>
  <c r="I1701" i="1"/>
  <c r="J1701" i="1"/>
  <c r="K1701" i="1"/>
  <c r="L1701" i="1"/>
  <c r="M1701" i="1"/>
  <c r="N1701" i="1"/>
  <c r="O1701" i="1"/>
  <c r="P1701" i="1"/>
  <c r="Q1701" i="1"/>
  <c r="A1702" i="1"/>
  <c r="B1702" i="1"/>
  <c r="C1702" i="1"/>
  <c r="D1702" i="1"/>
  <c r="E1702" i="1"/>
  <c r="F1702" i="1"/>
  <c r="G1702" i="1"/>
  <c r="H1702" i="1"/>
  <c r="I1702" i="1"/>
  <c r="J1702" i="1"/>
  <c r="K1702" i="1"/>
  <c r="L1702" i="1"/>
  <c r="M1702" i="1"/>
  <c r="N1702" i="1"/>
  <c r="O1702" i="1"/>
  <c r="P1702" i="1"/>
  <c r="Q1702" i="1"/>
  <c r="A1703" i="1"/>
  <c r="B1703" i="1"/>
  <c r="C1703" i="1"/>
  <c r="D1703" i="1"/>
  <c r="E1703" i="1"/>
  <c r="F1703" i="1"/>
  <c r="G1703" i="1"/>
  <c r="H1703" i="1"/>
  <c r="I1703" i="1"/>
  <c r="J1703" i="1"/>
  <c r="K1703" i="1"/>
  <c r="L1703" i="1"/>
  <c r="M1703" i="1"/>
  <c r="N1703" i="1"/>
  <c r="O1703" i="1"/>
  <c r="P1703" i="1"/>
  <c r="Q1703" i="1"/>
  <c r="A1704" i="1"/>
  <c r="B1704" i="1"/>
  <c r="C1704" i="1"/>
  <c r="D1704" i="1"/>
  <c r="E1704" i="1"/>
  <c r="F1704" i="1"/>
  <c r="G1704" i="1"/>
  <c r="H1704" i="1"/>
  <c r="I1704" i="1"/>
  <c r="J1704" i="1"/>
  <c r="K1704" i="1"/>
  <c r="L1704" i="1"/>
  <c r="M1704" i="1"/>
  <c r="N1704" i="1"/>
  <c r="O1704" i="1"/>
  <c r="P1704" i="1"/>
  <c r="Q1704" i="1"/>
  <c r="A1705" i="1"/>
  <c r="B1705" i="1"/>
  <c r="C1705" i="1"/>
  <c r="E1705" i="1"/>
  <c r="F1705" i="1"/>
  <c r="G1705" i="1"/>
  <c r="H1705" i="1"/>
  <c r="I1705" i="1"/>
  <c r="J1705" i="1"/>
  <c r="K1705" i="1"/>
  <c r="L1705" i="1"/>
  <c r="M1705" i="1"/>
  <c r="N1705" i="1"/>
  <c r="O1705" i="1"/>
  <c r="P1705" i="1"/>
  <c r="Q1705" i="1"/>
  <c r="A1706" i="1"/>
  <c r="B1706" i="1"/>
  <c r="C1706" i="1"/>
  <c r="D1706" i="1"/>
  <c r="E1706" i="1"/>
  <c r="F1706" i="1"/>
  <c r="G1706" i="1"/>
  <c r="H1706" i="1"/>
  <c r="I1706" i="1"/>
  <c r="J1706" i="1"/>
  <c r="K1706" i="1"/>
  <c r="L1706" i="1"/>
  <c r="M1706" i="1"/>
  <c r="N1706" i="1"/>
  <c r="O1706" i="1"/>
  <c r="P1706" i="1"/>
  <c r="Q1706" i="1"/>
  <c r="A1707" i="1"/>
  <c r="B1707" i="1"/>
  <c r="C1707" i="1"/>
  <c r="E1707" i="1"/>
  <c r="F1707" i="1"/>
  <c r="G1707" i="1"/>
  <c r="H1707" i="1"/>
  <c r="I1707" i="1"/>
  <c r="J1707" i="1"/>
  <c r="K1707" i="1"/>
  <c r="L1707" i="1"/>
  <c r="M1707" i="1"/>
  <c r="N1707" i="1"/>
  <c r="O1707" i="1"/>
  <c r="P1707" i="1"/>
  <c r="Q1707" i="1"/>
  <c r="A1708" i="1"/>
  <c r="B1708" i="1"/>
  <c r="C1708" i="1"/>
  <c r="D1708" i="1"/>
  <c r="E1708" i="1"/>
  <c r="F1708" i="1"/>
  <c r="G1708" i="1"/>
  <c r="H1708" i="1"/>
  <c r="I1708" i="1"/>
  <c r="J1708" i="1"/>
  <c r="K1708" i="1"/>
  <c r="L1708" i="1"/>
  <c r="M1708" i="1"/>
  <c r="N1708" i="1"/>
  <c r="O1708" i="1"/>
  <c r="P1708" i="1"/>
  <c r="Q1708" i="1"/>
  <c r="A1709" i="1"/>
  <c r="B1709" i="1"/>
  <c r="C1709" i="1"/>
  <c r="D1709" i="1"/>
  <c r="E1709" i="1"/>
  <c r="F1709" i="1"/>
  <c r="G1709" i="1"/>
  <c r="H1709" i="1"/>
  <c r="I1709" i="1"/>
  <c r="J1709" i="1"/>
  <c r="K1709" i="1"/>
  <c r="L1709" i="1"/>
  <c r="M1709" i="1"/>
  <c r="N1709" i="1"/>
  <c r="O1709" i="1"/>
  <c r="P1709" i="1"/>
  <c r="Q1709" i="1"/>
  <c r="A1710" i="1"/>
  <c r="B1710" i="1"/>
  <c r="C1710" i="1"/>
  <c r="D1710" i="1"/>
  <c r="E1710" i="1"/>
  <c r="F1710" i="1"/>
  <c r="G1710" i="1"/>
  <c r="H1710" i="1"/>
  <c r="I1710" i="1"/>
  <c r="J1710" i="1"/>
  <c r="K1710" i="1"/>
  <c r="L1710" i="1"/>
  <c r="M1710" i="1"/>
  <c r="N1710" i="1"/>
  <c r="O1710" i="1"/>
  <c r="P1710" i="1"/>
  <c r="Q1710" i="1"/>
  <c r="A1711" i="1"/>
  <c r="B1711" i="1"/>
  <c r="C1711" i="1"/>
  <c r="D1711" i="1"/>
  <c r="E1711" i="1"/>
  <c r="F1711" i="1"/>
  <c r="G1711" i="1"/>
  <c r="H1711" i="1"/>
  <c r="I1711" i="1"/>
  <c r="J1711" i="1"/>
  <c r="K1711" i="1"/>
  <c r="L1711" i="1"/>
  <c r="M1711" i="1"/>
  <c r="N1711" i="1"/>
  <c r="O1711" i="1"/>
  <c r="P1711" i="1"/>
  <c r="Q1711" i="1"/>
  <c r="A1712" i="1"/>
  <c r="B1712" i="1"/>
  <c r="C1712" i="1"/>
  <c r="D1712" i="1"/>
  <c r="E1712" i="1"/>
  <c r="F1712" i="1"/>
  <c r="G1712" i="1"/>
  <c r="H1712" i="1"/>
  <c r="I1712" i="1"/>
  <c r="J1712" i="1"/>
  <c r="K1712" i="1"/>
  <c r="L1712" i="1"/>
  <c r="M1712" i="1"/>
  <c r="N1712" i="1"/>
  <c r="O1712" i="1"/>
  <c r="P1712" i="1"/>
  <c r="Q1712" i="1"/>
  <c r="A1713" i="1"/>
  <c r="B1713" i="1"/>
  <c r="C1713" i="1"/>
  <c r="D1713" i="1"/>
  <c r="E1713" i="1"/>
  <c r="F1713" i="1"/>
  <c r="G1713" i="1"/>
  <c r="H1713" i="1"/>
  <c r="I1713" i="1"/>
  <c r="J1713" i="1"/>
  <c r="K1713" i="1"/>
  <c r="L1713" i="1"/>
  <c r="M1713" i="1"/>
  <c r="N1713" i="1"/>
  <c r="O1713" i="1"/>
  <c r="P1713" i="1"/>
  <c r="Q1713" i="1"/>
  <c r="A1714" i="1"/>
  <c r="B1714" i="1"/>
  <c r="C1714" i="1"/>
  <c r="E1714" i="1"/>
  <c r="F1714" i="1"/>
  <c r="G1714" i="1"/>
  <c r="H1714" i="1"/>
  <c r="I1714" i="1"/>
  <c r="J1714" i="1"/>
  <c r="K1714" i="1"/>
  <c r="L1714" i="1"/>
  <c r="M1714" i="1"/>
  <c r="N1714" i="1"/>
  <c r="O1714" i="1"/>
  <c r="P1714" i="1"/>
  <c r="Q1714" i="1"/>
  <c r="A1715" i="1"/>
  <c r="B1715" i="1"/>
  <c r="C1715" i="1"/>
  <c r="E1715" i="1"/>
  <c r="F1715" i="1"/>
  <c r="G1715" i="1"/>
  <c r="H1715" i="1"/>
  <c r="I1715" i="1"/>
  <c r="J1715" i="1"/>
  <c r="K1715" i="1"/>
  <c r="L1715" i="1"/>
  <c r="M1715" i="1"/>
  <c r="N1715" i="1"/>
  <c r="O1715" i="1"/>
  <c r="P1715" i="1"/>
  <c r="Q1715" i="1"/>
  <c r="A1716" i="1"/>
  <c r="B1716" i="1"/>
  <c r="C1716" i="1"/>
  <c r="D1716" i="1"/>
  <c r="E1716" i="1"/>
  <c r="F1716" i="1"/>
  <c r="G1716" i="1"/>
  <c r="H1716" i="1"/>
  <c r="I1716" i="1"/>
  <c r="J1716" i="1"/>
  <c r="K1716" i="1"/>
  <c r="L1716" i="1"/>
  <c r="M1716" i="1"/>
  <c r="N1716" i="1"/>
  <c r="O1716" i="1"/>
  <c r="P1716" i="1"/>
  <c r="Q1716" i="1"/>
  <c r="A1717" i="1"/>
  <c r="B1717" i="1"/>
  <c r="C1717" i="1"/>
  <c r="D1717" i="1"/>
  <c r="E1717" i="1"/>
  <c r="F1717" i="1"/>
  <c r="G1717" i="1"/>
  <c r="H1717" i="1"/>
  <c r="I1717" i="1"/>
  <c r="J1717" i="1"/>
  <c r="K1717" i="1"/>
  <c r="L1717" i="1"/>
  <c r="M1717" i="1"/>
  <c r="N1717" i="1"/>
  <c r="O1717" i="1"/>
  <c r="P1717" i="1"/>
  <c r="Q1717" i="1"/>
  <c r="A1718" i="1"/>
  <c r="B1718" i="1"/>
  <c r="C1718" i="1"/>
  <c r="D1718" i="1"/>
  <c r="E1718" i="1"/>
  <c r="F1718" i="1"/>
  <c r="G1718" i="1"/>
  <c r="H1718" i="1"/>
  <c r="I1718" i="1"/>
  <c r="J1718" i="1"/>
  <c r="K1718" i="1"/>
  <c r="L1718" i="1"/>
  <c r="M1718" i="1"/>
  <c r="N1718" i="1"/>
  <c r="O1718" i="1"/>
  <c r="P1718" i="1"/>
  <c r="Q1718" i="1"/>
  <c r="A1719" i="1"/>
  <c r="B1719" i="1"/>
  <c r="E1719" i="1"/>
  <c r="F1719" i="1"/>
  <c r="G1719" i="1"/>
  <c r="H1719" i="1"/>
  <c r="I1719" i="1"/>
  <c r="J1719" i="1"/>
  <c r="K1719" i="1"/>
  <c r="L1719" i="1"/>
  <c r="M1719" i="1"/>
  <c r="N1719" i="1"/>
  <c r="O1719" i="1"/>
  <c r="P1719" i="1"/>
  <c r="Q1719" i="1"/>
  <c r="A1720" i="1"/>
  <c r="B1720" i="1"/>
  <c r="C1720" i="1"/>
  <c r="D1720" i="1"/>
  <c r="E1720" i="1"/>
  <c r="F1720" i="1"/>
  <c r="G1720" i="1"/>
  <c r="H1720" i="1"/>
  <c r="I1720" i="1"/>
  <c r="J1720" i="1"/>
  <c r="K1720" i="1"/>
  <c r="L1720" i="1"/>
  <c r="M1720" i="1"/>
  <c r="N1720" i="1"/>
  <c r="O1720" i="1"/>
  <c r="P1720" i="1"/>
  <c r="Q1720" i="1"/>
  <c r="A1721" i="1"/>
  <c r="B1721" i="1"/>
  <c r="C1721" i="1"/>
  <c r="D1721" i="1"/>
  <c r="E1721" i="1"/>
  <c r="F1721" i="1"/>
  <c r="G1721" i="1"/>
  <c r="H1721" i="1"/>
  <c r="I1721" i="1"/>
  <c r="J1721" i="1"/>
  <c r="K1721" i="1"/>
  <c r="L1721" i="1"/>
  <c r="M1721" i="1"/>
  <c r="N1721" i="1"/>
  <c r="O1721" i="1"/>
  <c r="P1721" i="1"/>
  <c r="Q1721" i="1"/>
  <c r="A1722" i="1"/>
  <c r="B1722" i="1"/>
  <c r="C1722" i="1"/>
  <c r="D1722" i="1"/>
  <c r="E1722" i="1"/>
  <c r="F1722" i="1"/>
  <c r="G1722" i="1"/>
  <c r="H1722" i="1"/>
  <c r="I1722" i="1"/>
  <c r="J1722" i="1"/>
  <c r="K1722" i="1"/>
  <c r="L1722" i="1"/>
  <c r="M1722" i="1"/>
  <c r="N1722" i="1"/>
  <c r="O1722" i="1"/>
  <c r="P1722" i="1"/>
  <c r="Q1722" i="1"/>
  <c r="A1723" i="1"/>
  <c r="B1723" i="1"/>
  <c r="E1723" i="1"/>
  <c r="F1723" i="1"/>
  <c r="G1723" i="1"/>
  <c r="H1723" i="1"/>
  <c r="I1723" i="1"/>
  <c r="J1723" i="1"/>
  <c r="K1723" i="1"/>
  <c r="L1723" i="1"/>
  <c r="M1723" i="1"/>
  <c r="N1723" i="1"/>
  <c r="O1723" i="1"/>
  <c r="P1723" i="1"/>
  <c r="Q1723" i="1"/>
  <c r="A1724" i="1"/>
  <c r="B1724" i="1"/>
  <c r="C1724" i="1"/>
  <c r="E1724" i="1"/>
  <c r="F1724" i="1"/>
  <c r="G1724" i="1"/>
  <c r="H1724" i="1"/>
  <c r="I1724" i="1"/>
  <c r="J1724" i="1"/>
  <c r="K1724" i="1"/>
  <c r="L1724" i="1"/>
  <c r="M1724" i="1"/>
  <c r="N1724" i="1"/>
  <c r="O1724" i="1"/>
  <c r="P1724" i="1"/>
  <c r="Q1724" i="1"/>
  <c r="A1725" i="1"/>
  <c r="B1725" i="1"/>
  <c r="C1725" i="1"/>
  <c r="D1725" i="1"/>
  <c r="E1725" i="1"/>
  <c r="F1725" i="1"/>
  <c r="G1725" i="1"/>
  <c r="H1725" i="1"/>
  <c r="I1725" i="1"/>
  <c r="J1725" i="1"/>
  <c r="K1725" i="1"/>
  <c r="L1725" i="1"/>
  <c r="M1725" i="1"/>
  <c r="N1725" i="1"/>
  <c r="O1725" i="1"/>
  <c r="P1725" i="1"/>
  <c r="Q1725" i="1"/>
  <c r="A1726" i="1"/>
  <c r="B1726" i="1"/>
  <c r="C1726" i="1"/>
  <c r="D1726" i="1"/>
  <c r="E1726" i="1"/>
  <c r="F1726" i="1"/>
  <c r="G1726" i="1"/>
  <c r="H1726" i="1"/>
  <c r="I1726" i="1"/>
  <c r="J1726" i="1"/>
  <c r="K1726" i="1"/>
  <c r="L1726" i="1"/>
  <c r="M1726" i="1"/>
  <c r="N1726" i="1"/>
  <c r="O1726" i="1"/>
  <c r="P1726" i="1"/>
  <c r="Q1726" i="1"/>
  <c r="A1727" i="1"/>
  <c r="B1727" i="1"/>
  <c r="C1727" i="1"/>
  <c r="D1727" i="1"/>
  <c r="E1727" i="1"/>
  <c r="F1727" i="1"/>
  <c r="G1727" i="1"/>
  <c r="H1727" i="1"/>
  <c r="I1727" i="1"/>
  <c r="J1727" i="1"/>
  <c r="K1727" i="1"/>
  <c r="L1727" i="1"/>
  <c r="M1727" i="1"/>
  <c r="N1727" i="1"/>
  <c r="O1727" i="1"/>
  <c r="P1727" i="1"/>
  <c r="Q1727" i="1"/>
  <c r="A1728" i="1"/>
  <c r="B1728" i="1"/>
  <c r="C1728" i="1"/>
  <c r="D1728" i="1"/>
  <c r="E1728" i="1"/>
  <c r="F1728" i="1"/>
  <c r="G1728" i="1"/>
  <c r="H1728" i="1"/>
  <c r="I1728" i="1"/>
  <c r="J1728" i="1"/>
  <c r="K1728" i="1"/>
  <c r="L1728" i="1"/>
  <c r="M1728" i="1"/>
  <c r="N1728" i="1"/>
  <c r="O1728" i="1"/>
  <c r="P1728" i="1"/>
  <c r="Q1728" i="1"/>
  <c r="A1729" i="1"/>
  <c r="B1729" i="1"/>
  <c r="C1729" i="1"/>
  <c r="D1729" i="1"/>
  <c r="E1729" i="1"/>
  <c r="F1729" i="1"/>
  <c r="G1729" i="1"/>
  <c r="H1729" i="1"/>
  <c r="I1729" i="1"/>
  <c r="J1729" i="1"/>
  <c r="K1729" i="1"/>
  <c r="L1729" i="1"/>
  <c r="M1729" i="1"/>
  <c r="N1729" i="1"/>
  <c r="O1729" i="1"/>
  <c r="P1729" i="1"/>
  <c r="Q1729" i="1"/>
  <c r="A1730" i="1"/>
  <c r="B1730" i="1"/>
  <c r="C1730" i="1"/>
  <c r="D1730" i="1"/>
  <c r="E1730" i="1"/>
  <c r="F1730" i="1"/>
  <c r="G1730" i="1"/>
  <c r="H1730" i="1"/>
  <c r="I1730" i="1"/>
  <c r="J1730" i="1"/>
  <c r="K1730" i="1"/>
  <c r="L1730" i="1"/>
  <c r="M1730" i="1"/>
  <c r="N1730" i="1"/>
  <c r="O1730" i="1"/>
  <c r="P1730" i="1"/>
  <c r="Q1730" i="1"/>
  <c r="A1731" i="1"/>
  <c r="B1731" i="1"/>
  <c r="C1731" i="1"/>
  <c r="D1731" i="1"/>
  <c r="E1731" i="1"/>
  <c r="F1731" i="1"/>
  <c r="G1731" i="1"/>
  <c r="H1731" i="1"/>
  <c r="I1731" i="1"/>
  <c r="J1731" i="1"/>
  <c r="K1731" i="1"/>
  <c r="L1731" i="1"/>
  <c r="M1731" i="1"/>
  <c r="N1731" i="1"/>
  <c r="O1731" i="1"/>
  <c r="P1731" i="1"/>
  <c r="Q1731" i="1"/>
  <c r="A1732" i="1"/>
  <c r="B1732" i="1"/>
  <c r="C1732" i="1"/>
  <c r="D1732" i="1"/>
  <c r="E1732" i="1"/>
  <c r="F1732" i="1"/>
  <c r="G1732" i="1"/>
  <c r="H1732" i="1"/>
  <c r="I1732" i="1"/>
  <c r="J1732" i="1"/>
  <c r="K1732" i="1"/>
  <c r="L1732" i="1"/>
  <c r="M1732" i="1"/>
  <c r="N1732" i="1"/>
  <c r="O1732" i="1"/>
  <c r="P1732" i="1"/>
  <c r="Q1732" i="1"/>
  <c r="A1733" i="1"/>
  <c r="B1733" i="1"/>
  <c r="C1733" i="1"/>
  <c r="D1733" i="1"/>
  <c r="E1733" i="1"/>
  <c r="F1733" i="1"/>
  <c r="G1733" i="1"/>
  <c r="H1733" i="1"/>
  <c r="I1733" i="1"/>
  <c r="J1733" i="1"/>
  <c r="K1733" i="1"/>
  <c r="L1733" i="1"/>
  <c r="M1733" i="1"/>
  <c r="N1733" i="1"/>
  <c r="O1733" i="1"/>
  <c r="P1733" i="1"/>
  <c r="Q1733" i="1"/>
  <c r="A1734" i="1"/>
  <c r="B1734" i="1"/>
  <c r="C1734" i="1"/>
  <c r="D1734" i="1"/>
  <c r="E1734" i="1"/>
  <c r="F1734" i="1"/>
  <c r="G1734" i="1"/>
  <c r="H1734" i="1"/>
  <c r="I1734" i="1"/>
  <c r="J1734" i="1"/>
  <c r="K1734" i="1"/>
  <c r="L1734" i="1"/>
  <c r="M1734" i="1"/>
  <c r="N1734" i="1"/>
  <c r="O1734" i="1"/>
  <c r="P1734" i="1"/>
  <c r="Q1734" i="1"/>
  <c r="A1735" i="1"/>
  <c r="B1735" i="1"/>
  <c r="C1735" i="1"/>
  <c r="D1735" i="1"/>
  <c r="E1735" i="1"/>
  <c r="F1735" i="1"/>
  <c r="G1735" i="1"/>
  <c r="H1735" i="1"/>
  <c r="I1735" i="1"/>
  <c r="J1735" i="1"/>
  <c r="K1735" i="1"/>
  <c r="L1735" i="1"/>
  <c r="M1735" i="1"/>
  <c r="N1735" i="1"/>
  <c r="O1735" i="1"/>
  <c r="P1735" i="1"/>
  <c r="Q1735" i="1"/>
  <c r="A1736" i="1"/>
  <c r="B1736" i="1"/>
  <c r="C1736" i="1"/>
  <c r="D1736" i="1"/>
  <c r="E1736" i="1"/>
  <c r="F1736" i="1"/>
  <c r="G1736" i="1"/>
  <c r="H1736" i="1"/>
  <c r="I1736" i="1"/>
  <c r="J1736" i="1"/>
  <c r="K1736" i="1"/>
  <c r="L1736" i="1"/>
  <c r="M1736" i="1"/>
  <c r="N1736" i="1"/>
  <c r="O1736" i="1"/>
  <c r="P1736" i="1"/>
  <c r="Q1736" i="1"/>
  <c r="A1737" i="1"/>
  <c r="B1737" i="1"/>
  <c r="C1737" i="1"/>
  <c r="D1737" i="1"/>
  <c r="E1737" i="1"/>
  <c r="F1737" i="1"/>
  <c r="G1737" i="1"/>
  <c r="H1737" i="1"/>
  <c r="I1737" i="1"/>
  <c r="J1737" i="1"/>
  <c r="K1737" i="1"/>
  <c r="L1737" i="1"/>
  <c r="M1737" i="1"/>
  <c r="N1737" i="1"/>
  <c r="O1737" i="1"/>
  <c r="P1737" i="1"/>
  <c r="Q1737" i="1"/>
  <c r="A1738" i="1"/>
  <c r="B1738" i="1"/>
  <c r="C1738" i="1"/>
  <c r="E1738" i="1"/>
  <c r="F1738" i="1"/>
  <c r="G1738" i="1"/>
  <c r="H1738" i="1"/>
  <c r="I1738" i="1"/>
  <c r="J1738" i="1"/>
  <c r="K1738" i="1"/>
  <c r="L1738" i="1"/>
  <c r="M1738" i="1"/>
  <c r="N1738" i="1"/>
  <c r="O1738" i="1"/>
  <c r="P1738" i="1"/>
  <c r="Q1738" i="1"/>
  <c r="A1739" i="1"/>
  <c r="B1739" i="1"/>
  <c r="C1739" i="1"/>
  <c r="D1739" i="1"/>
  <c r="E1739" i="1"/>
  <c r="F1739" i="1"/>
  <c r="G1739" i="1"/>
  <c r="H1739" i="1"/>
  <c r="I1739" i="1"/>
  <c r="J1739" i="1"/>
  <c r="K1739" i="1"/>
  <c r="L1739" i="1"/>
  <c r="M1739" i="1"/>
  <c r="N1739" i="1"/>
  <c r="O1739" i="1"/>
  <c r="P1739" i="1"/>
  <c r="Q1739" i="1"/>
  <c r="A1740" i="1"/>
  <c r="B1740" i="1"/>
  <c r="C1740" i="1"/>
  <c r="D1740" i="1"/>
  <c r="E1740" i="1"/>
  <c r="F1740" i="1"/>
  <c r="G1740" i="1"/>
  <c r="H1740" i="1"/>
  <c r="I1740" i="1"/>
  <c r="J1740" i="1"/>
  <c r="K1740" i="1"/>
  <c r="L1740" i="1"/>
  <c r="M1740" i="1"/>
  <c r="N1740" i="1"/>
  <c r="O1740" i="1"/>
  <c r="P1740" i="1"/>
  <c r="Q1740" i="1"/>
  <c r="A1741" i="1"/>
  <c r="B1741" i="1"/>
  <c r="C1741" i="1"/>
  <c r="D1741" i="1"/>
  <c r="E1741" i="1"/>
  <c r="F1741" i="1"/>
  <c r="G1741" i="1"/>
  <c r="H1741" i="1"/>
  <c r="I1741" i="1"/>
  <c r="J1741" i="1"/>
  <c r="K1741" i="1"/>
  <c r="L1741" i="1"/>
  <c r="M1741" i="1"/>
  <c r="N1741" i="1"/>
  <c r="O1741" i="1"/>
  <c r="P1741" i="1"/>
  <c r="Q1741" i="1"/>
  <c r="A1742" i="1"/>
  <c r="B1742" i="1"/>
  <c r="C1742" i="1"/>
  <c r="D1742" i="1"/>
  <c r="E1742" i="1"/>
  <c r="F1742" i="1"/>
  <c r="G1742" i="1"/>
  <c r="H1742" i="1"/>
  <c r="I1742" i="1"/>
  <c r="J1742" i="1"/>
  <c r="K1742" i="1"/>
  <c r="L1742" i="1"/>
  <c r="M1742" i="1"/>
  <c r="N1742" i="1"/>
  <c r="O1742" i="1"/>
  <c r="P1742" i="1"/>
  <c r="Q1742" i="1"/>
  <c r="A1743" i="1"/>
  <c r="B1743" i="1"/>
  <c r="C1743" i="1"/>
  <c r="D1743" i="1"/>
  <c r="E1743" i="1"/>
  <c r="F1743" i="1"/>
  <c r="G1743" i="1"/>
  <c r="H1743" i="1"/>
  <c r="I1743" i="1"/>
  <c r="J1743" i="1"/>
  <c r="K1743" i="1"/>
  <c r="L1743" i="1"/>
  <c r="M1743" i="1"/>
  <c r="N1743" i="1"/>
  <c r="O1743" i="1"/>
  <c r="P1743" i="1"/>
  <c r="Q1743" i="1"/>
  <c r="A1744" i="1"/>
  <c r="B1744" i="1"/>
  <c r="C1744" i="1"/>
  <c r="D1744" i="1"/>
  <c r="E1744" i="1"/>
  <c r="F1744" i="1"/>
  <c r="G1744" i="1"/>
  <c r="H1744" i="1"/>
  <c r="I1744" i="1"/>
  <c r="J1744" i="1"/>
  <c r="K1744" i="1"/>
  <c r="L1744" i="1"/>
  <c r="M1744" i="1"/>
  <c r="N1744" i="1"/>
  <c r="O1744" i="1"/>
  <c r="P1744" i="1"/>
  <c r="Q1744" i="1"/>
  <c r="A1745" i="1"/>
  <c r="B1745" i="1"/>
  <c r="C1745" i="1"/>
  <c r="D1745" i="1"/>
  <c r="E1745" i="1"/>
  <c r="F1745" i="1"/>
  <c r="G1745" i="1"/>
  <c r="H1745" i="1"/>
  <c r="I1745" i="1"/>
  <c r="J1745" i="1"/>
  <c r="K1745" i="1"/>
  <c r="L1745" i="1"/>
  <c r="M1745" i="1"/>
  <c r="N1745" i="1"/>
  <c r="O1745" i="1"/>
  <c r="P1745" i="1"/>
  <c r="Q1745" i="1"/>
  <c r="A1746" i="1"/>
  <c r="B1746" i="1"/>
  <c r="C1746" i="1"/>
  <c r="D1746" i="1"/>
  <c r="E1746" i="1"/>
  <c r="F1746" i="1"/>
  <c r="G1746" i="1"/>
  <c r="H1746" i="1"/>
  <c r="I1746" i="1"/>
  <c r="J1746" i="1"/>
  <c r="K1746" i="1"/>
  <c r="L1746" i="1"/>
  <c r="M1746" i="1"/>
  <c r="N1746" i="1"/>
  <c r="O1746" i="1"/>
  <c r="P1746" i="1"/>
  <c r="Q1746" i="1"/>
  <c r="A1747" i="1"/>
  <c r="B1747" i="1"/>
  <c r="C1747" i="1"/>
  <c r="D1747" i="1"/>
  <c r="E1747" i="1"/>
  <c r="F1747" i="1"/>
  <c r="G1747" i="1"/>
  <c r="H1747" i="1"/>
  <c r="I1747" i="1"/>
  <c r="J1747" i="1"/>
  <c r="K1747" i="1"/>
  <c r="L1747" i="1"/>
  <c r="M1747" i="1"/>
  <c r="N1747" i="1"/>
  <c r="O1747" i="1"/>
  <c r="P1747" i="1"/>
  <c r="Q1747" i="1"/>
  <c r="A1748" i="1"/>
  <c r="B1748" i="1"/>
  <c r="C1748" i="1"/>
  <c r="D1748" i="1"/>
  <c r="E1748" i="1"/>
  <c r="F1748" i="1"/>
  <c r="G1748" i="1"/>
  <c r="H1748" i="1"/>
  <c r="I1748" i="1"/>
  <c r="J1748" i="1"/>
  <c r="K1748" i="1"/>
  <c r="L1748" i="1"/>
  <c r="M1748" i="1"/>
  <c r="N1748" i="1"/>
  <c r="O1748" i="1"/>
  <c r="P1748" i="1"/>
  <c r="Q1748" i="1"/>
  <c r="A1749" i="1"/>
  <c r="B1749" i="1"/>
  <c r="C1749" i="1"/>
  <c r="E1749" i="1"/>
  <c r="F1749" i="1"/>
  <c r="G1749" i="1"/>
  <c r="H1749" i="1"/>
  <c r="I1749" i="1"/>
  <c r="J1749" i="1"/>
  <c r="K1749" i="1"/>
  <c r="L1749" i="1"/>
  <c r="M1749" i="1"/>
  <c r="N1749" i="1"/>
  <c r="O1749" i="1"/>
  <c r="P1749" i="1"/>
  <c r="Q1749" i="1"/>
  <c r="A1750" i="1"/>
  <c r="B1750" i="1"/>
  <c r="C1750" i="1"/>
  <c r="E1750" i="1"/>
  <c r="F1750" i="1"/>
  <c r="G1750" i="1"/>
  <c r="H1750" i="1"/>
  <c r="I1750" i="1"/>
  <c r="J1750" i="1"/>
  <c r="K1750" i="1"/>
  <c r="L1750" i="1"/>
  <c r="M1750" i="1"/>
  <c r="N1750" i="1"/>
  <c r="O1750" i="1"/>
  <c r="P1750" i="1"/>
  <c r="Q1750" i="1"/>
  <c r="A1751" i="1"/>
  <c r="B1751" i="1"/>
  <c r="C1751" i="1"/>
  <c r="D1751" i="1"/>
  <c r="E1751" i="1"/>
  <c r="F1751" i="1"/>
  <c r="G1751" i="1"/>
  <c r="H1751" i="1"/>
  <c r="I1751" i="1"/>
  <c r="J1751" i="1"/>
  <c r="K1751" i="1"/>
  <c r="L1751" i="1"/>
  <c r="M1751" i="1"/>
  <c r="N1751" i="1"/>
  <c r="O1751" i="1"/>
  <c r="P1751" i="1"/>
  <c r="Q1751" i="1"/>
  <c r="A1752" i="1"/>
  <c r="B1752" i="1"/>
  <c r="C1752" i="1"/>
  <c r="D1752" i="1"/>
  <c r="E1752" i="1"/>
  <c r="F1752" i="1"/>
  <c r="G1752" i="1"/>
  <c r="H1752" i="1"/>
  <c r="I1752" i="1"/>
  <c r="J1752" i="1"/>
  <c r="K1752" i="1"/>
  <c r="L1752" i="1"/>
  <c r="M1752" i="1"/>
  <c r="N1752" i="1"/>
  <c r="O1752" i="1"/>
  <c r="P1752" i="1"/>
  <c r="Q1752" i="1"/>
  <c r="A1753" i="1"/>
  <c r="B1753" i="1"/>
  <c r="C1753" i="1"/>
  <c r="D1753" i="1"/>
  <c r="E1753" i="1"/>
  <c r="F1753" i="1"/>
  <c r="G1753" i="1"/>
  <c r="H1753" i="1"/>
  <c r="I1753" i="1"/>
  <c r="J1753" i="1"/>
  <c r="K1753" i="1"/>
  <c r="L1753" i="1"/>
  <c r="M1753" i="1"/>
  <c r="N1753" i="1"/>
  <c r="O1753" i="1"/>
  <c r="P1753" i="1"/>
  <c r="Q1753" i="1"/>
  <c r="A1754" i="1"/>
  <c r="B1754" i="1"/>
  <c r="C1754" i="1"/>
  <c r="D1754" i="1"/>
  <c r="E1754" i="1"/>
  <c r="F1754" i="1"/>
  <c r="G1754" i="1"/>
  <c r="H1754" i="1"/>
  <c r="I1754" i="1"/>
  <c r="J1754" i="1"/>
  <c r="K1754" i="1"/>
  <c r="L1754" i="1"/>
  <c r="M1754" i="1"/>
  <c r="N1754" i="1"/>
  <c r="O1754" i="1"/>
  <c r="P1754" i="1"/>
  <c r="Q1754" i="1"/>
  <c r="A1755" i="1"/>
  <c r="B1755" i="1"/>
  <c r="C1755" i="1"/>
  <c r="D1755" i="1"/>
  <c r="E1755" i="1"/>
  <c r="F1755" i="1"/>
  <c r="G1755" i="1"/>
  <c r="H1755" i="1"/>
  <c r="I1755" i="1"/>
  <c r="J1755" i="1"/>
  <c r="K1755" i="1"/>
  <c r="L1755" i="1"/>
  <c r="M1755" i="1"/>
  <c r="N1755" i="1"/>
  <c r="O1755" i="1"/>
  <c r="P1755" i="1"/>
  <c r="Q1755" i="1"/>
  <c r="A1756" i="1"/>
  <c r="B1756" i="1"/>
  <c r="C1756" i="1"/>
  <c r="D1756" i="1"/>
  <c r="E1756" i="1"/>
  <c r="F1756" i="1"/>
  <c r="G1756" i="1"/>
  <c r="H1756" i="1"/>
  <c r="I1756" i="1"/>
  <c r="J1756" i="1"/>
  <c r="K1756" i="1"/>
  <c r="L1756" i="1"/>
  <c r="M1756" i="1"/>
  <c r="N1756" i="1"/>
  <c r="O1756" i="1"/>
  <c r="P1756" i="1"/>
  <c r="Q1756" i="1"/>
  <c r="A1757" i="1"/>
  <c r="B1757" i="1"/>
  <c r="C1757" i="1"/>
  <c r="D1757" i="1"/>
  <c r="E1757" i="1"/>
  <c r="F1757" i="1"/>
  <c r="G1757" i="1"/>
  <c r="H1757" i="1"/>
  <c r="I1757" i="1"/>
  <c r="J1757" i="1"/>
  <c r="K1757" i="1"/>
  <c r="L1757" i="1"/>
  <c r="M1757" i="1"/>
  <c r="N1757" i="1"/>
  <c r="O1757" i="1"/>
  <c r="P1757" i="1"/>
  <c r="Q1757" i="1"/>
  <c r="A1758" i="1"/>
  <c r="B1758" i="1"/>
  <c r="C1758" i="1"/>
  <c r="D1758" i="1"/>
  <c r="E1758" i="1"/>
  <c r="F1758" i="1"/>
  <c r="G1758" i="1"/>
  <c r="H1758" i="1"/>
  <c r="I1758" i="1"/>
  <c r="J1758" i="1"/>
  <c r="K1758" i="1"/>
  <c r="L1758" i="1"/>
  <c r="M1758" i="1"/>
  <c r="N1758" i="1"/>
  <c r="O1758" i="1"/>
  <c r="P1758" i="1"/>
  <c r="Q1758" i="1"/>
  <c r="A1759" i="1"/>
  <c r="B1759" i="1"/>
  <c r="C1759" i="1"/>
  <c r="D1759" i="1"/>
  <c r="E1759" i="1"/>
  <c r="F1759" i="1"/>
  <c r="G1759" i="1"/>
  <c r="H1759" i="1"/>
  <c r="I1759" i="1"/>
  <c r="J1759" i="1"/>
  <c r="K1759" i="1"/>
  <c r="L1759" i="1"/>
  <c r="M1759" i="1"/>
  <c r="N1759" i="1"/>
  <c r="O1759" i="1"/>
  <c r="P1759" i="1"/>
  <c r="Q1759" i="1"/>
  <c r="A1760" i="1"/>
  <c r="B1760" i="1"/>
  <c r="C1760" i="1"/>
  <c r="D1760" i="1"/>
  <c r="E1760" i="1"/>
  <c r="F1760" i="1"/>
  <c r="G1760" i="1"/>
  <c r="H1760" i="1"/>
  <c r="I1760" i="1"/>
  <c r="J1760" i="1"/>
  <c r="K1760" i="1"/>
  <c r="L1760" i="1"/>
  <c r="M1760" i="1"/>
  <c r="N1760" i="1"/>
  <c r="O1760" i="1"/>
  <c r="P1760" i="1"/>
  <c r="Q1760" i="1"/>
  <c r="A1761" i="1"/>
  <c r="B1761" i="1"/>
  <c r="C1761" i="1"/>
  <c r="D1761" i="1"/>
  <c r="E1761" i="1"/>
  <c r="F1761" i="1"/>
  <c r="G1761" i="1"/>
  <c r="H1761" i="1"/>
  <c r="I1761" i="1"/>
  <c r="J1761" i="1"/>
  <c r="K1761" i="1"/>
  <c r="L1761" i="1"/>
  <c r="M1761" i="1"/>
  <c r="N1761" i="1"/>
  <c r="O1761" i="1"/>
  <c r="P1761" i="1"/>
  <c r="Q1761" i="1"/>
  <c r="A1762" i="1"/>
  <c r="B1762" i="1"/>
  <c r="C1762" i="1"/>
  <c r="D1762" i="1"/>
  <c r="E1762" i="1"/>
  <c r="F1762" i="1"/>
  <c r="G1762" i="1"/>
  <c r="H1762" i="1"/>
  <c r="I1762" i="1"/>
  <c r="J1762" i="1"/>
  <c r="K1762" i="1"/>
  <c r="L1762" i="1"/>
  <c r="M1762" i="1"/>
  <c r="N1762" i="1"/>
  <c r="O1762" i="1"/>
  <c r="P1762" i="1"/>
  <c r="Q1762" i="1"/>
  <c r="A1763" i="1"/>
  <c r="B1763" i="1"/>
  <c r="C1763" i="1"/>
  <c r="D1763" i="1"/>
  <c r="E1763" i="1"/>
  <c r="F1763" i="1"/>
  <c r="G1763" i="1"/>
  <c r="H1763" i="1"/>
  <c r="I1763" i="1"/>
  <c r="J1763" i="1"/>
  <c r="K1763" i="1"/>
  <c r="L1763" i="1"/>
  <c r="M1763" i="1"/>
  <c r="N1763" i="1"/>
  <c r="O1763" i="1"/>
  <c r="P1763" i="1"/>
  <c r="Q1763" i="1"/>
  <c r="A1764" i="1"/>
  <c r="B1764" i="1"/>
  <c r="C1764" i="1"/>
  <c r="D1764" i="1"/>
  <c r="E1764" i="1"/>
  <c r="F1764" i="1"/>
  <c r="G1764" i="1"/>
  <c r="H1764" i="1"/>
  <c r="I1764" i="1"/>
  <c r="J1764" i="1"/>
  <c r="K1764" i="1"/>
  <c r="L1764" i="1"/>
  <c r="M1764" i="1"/>
  <c r="N1764" i="1"/>
  <c r="O1764" i="1"/>
  <c r="P1764" i="1"/>
  <c r="Q1764" i="1"/>
  <c r="A1765" i="1"/>
  <c r="B1765" i="1"/>
  <c r="C1765" i="1"/>
  <c r="D1765" i="1"/>
  <c r="E1765" i="1"/>
  <c r="F1765" i="1"/>
  <c r="G1765" i="1"/>
  <c r="H1765" i="1"/>
  <c r="I1765" i="1"/>
  <c r="J1765" i="1"/>
  <c r="K1765" i="1"/>
  <c r="L1765" i="1"/>
  <c r="M1765" i="1"/>
  <c r="N1765" i="1"/>
  <c r="O1765" i="1"/>
  <c r="P1765" i="1"/>
  <c r="Q1765" i="1"/>
  <c r="A1766" i="1"/>
  <c r="B1766" i="1"/>
  <c r="C1766" i="1"/>
  <c r="E1766" i="1"/>
  <c r="F1766" i="1"/>
  <c r="G1766" i="1"/>
  <c r="H1766" i="1"/>
  <c r="I1766" i="1"/>
  <c r="J1766" i="1"/>
  <c r="K1766" i="1"/>
  <c r="L1766" i="1"/>
  <c r="M1766" i="1"/>
  <c r="N1766" i="1"/>
  <c r="O1766" i="1"/>
  <c r="P1766" i="1"/>
  <c r="Q1766" i="1"/>
  <c r="A1767" i="1"/>
  <c r="B1767" i="1"/>
  <c r="C1767" i="1"/>
  <c r="D1767" i="1"/>
  <c r="E1767" i="1"/>
  <c r="F1767" i="1"/>
  <c r="G1767" i="1"/>
  <c r="H1767" i="1"/>
  <c r="I1767" i="1"/>
  <c r="J1767" i="1"/>
  <c r="K1767" i="1"/>
  <c r="L1767" i="1"/>
  <c r="M1767" i="1"/>
  <c r="N1767" i="1"/>
  <c r="O1767" i="1"/>
  <c r="P1767" i="1"/>
  <c r="Q1767" i="1"/>
  <c r="A1768" i="1"/>
  <c r="B1768" i="1"/>
  <c r="C1768" i="1"/>
  <c r="D1768" i="1"/>
  <c r="E1768" i="1"/>
  <c r="F1768" i="1"/>
  <c r="G1768" i="1"/>
  <c r="H1768" i="1"/>
  <c r="I1768" i="1"/>
  <c r="J1768" i="1"/>
  <c r="K1768" i="1"/>
  <c r="L1768" i="1"/>
  <c r="M1768" i="1"/>
  <c r="N1768" i="1"/>
  <c r="O1768" i="1"/>
  <c r="P1768" i="1"/>
  <c r="Q1768" i="1"/>
  <c r="A1769" i="1"/>
  <c r="B1769" i="1"/>
  <c r="C1769" i="1"/>
  <c r="D1769" i="1"/>
  <c r="E1769" i="1"/>
  <c r="F1769" i="1"/>
  <c r="G1769" i="1"/>
  <c r="H1769" i="1"/>
  <c r="I1769" i="1"/>
  <c r="J1769" i="1"/>
  <c r="K1769" i="1"/>
  <c r="L1769" i="1"/>
  <c r="M1769" i="1"/>
  <c r="N1769" i="1"/>
  <c r="O1769" i="1"/>
  <c r="P1769" i="1"/>
  <c r="Q1769" i="1"/>
  <c r="A1770" i="1"/>
  <c r="B1770" i="1"/>
  <c r="C1770" i="1"/>
  <c r="D1770" i="1"/>
  <c r="E1770" i="1"/>
  <c r="F1770" i="1"/>
  <c r="G1770" i="1"/>
  <c r="H1770" i="1"/>
  <c r="I1770" i="1"/>
  <c r="J1770" i="1"/>
  <c r="K1770" i="1"/>
  <c r="L1770" i="1"/>
  <c r="M1770" i="1"/>
  <c r="N1770" i="1"/>
  <c r="O1770" i="1"/>
  <c r="P1770" i="1"/>
  <c r="Q1770" i="1"/>
  <c r="A1771" i="1"/>
  <c r="B1771" i="1"/>
  <c r="C1771" i="1"/>
  <c r="D1771" i="1"/>
  <c r="E1771" i="1"/>
  <c r="F1771" i="1"/>
  <c r="G1771" i="1"/>
  <c r="H1771" i="1"/>
  <c r="I1771" i="1"/>
  <c r="J1771" i="1"/>
  <c r="K1771" i="1"/>
  <c r="L1771" i="1"/>
  <c r="M1771" i="1"/>
  <c r="N1771" i="1"/>
  <c r="O1771" i="1"/>
  <c r="P1771" i="1"/>
  <c r="Q1771" i="1"/>
  <c r="A1772" i="1"/>
  <c r="B1772" i="1"/>
  <c r="C1772" i="1"/>
  <c r="D1772" i="1"/>
  <c r="E1772" i="1"/>
  <c r="F1772" i="1"/>
  <c r="G1772" i="1"/>
  <c r="H1772" i="1"/>
  <c r="I1772" i="1"/>
  <c r="J1772" i="1"/>
  <c r="K1772" i="1"/>
  <c r="L1772" i="1"/>
  <c r="M1772" i="1"/>
  <c r="N1772" i="1"/>
  <c r="O1772" i="1"/>
  <c r="P1772" i="1"/>
  <c r="Q1772" i="1"/>
  <c r="A1773" i="1"/>
  <c r="B1773" i="1"/>
  <c r="C1773" i="1"/>
  <c r="D1773" i="1"/>
  <c r="E1773" i="1"/>
  <c r="F1773" i="1"/>
  <c r="G1773" i="1"/>
  <c r="H1773" i="1"/>
  <c r="I1773" i="1"/>
  <c r="J1773" i="1"/>
  <c r="K1773" i="1"/>
  <c r="L1773" i="1"/>
  <c r="M1773" i="1"/>
  <c r="N1773" i="1"/>
  <c r="O1773" i="1"/>
  <c r="P1773" i="1"/>
  <c r="Q1773" i="1"/>
  <c r="A1774" i="1"/>
  <c r="B1774" i="1"/>
  <c r="C1774" i="1"/>
  <c r="D1774" i="1"/>
  <c r="E1774" i="1"/>
  <c r="F1774" i="1"/>
  <c r="G1774" i="1"/>
  <c r="H1774" i="1"/>
  <c r="I1774" i="1"/>
  <c r="J1774" i="1"/>
  <c r="K1774" i="1"/>
  <c r="L1774" i="1"/>
  <c r="M1774" i="1"/>
  <c r="N1774" i="1"/>
  <c r="O1774" i="1"/>
  <c r="P1774" i="1"/>
  <c r="Q1774" i="1"/>
  <c r="A1775" i="1"/>
  <c r="B1775" i="1"/>
  <c r="C1775" i="1"/>
  <c r="D1775" i="1"/>
  <c r="E1775" i="1"/>
  <c r="F1775" i="1"/>
  <c r="G1775" i="1"/>
  <c r="H1775" i="1"/>
  <c r="I1775" i="1"/>
  <c r="J1775" i="1"/>
  <c r="K1775" i="1"/>
  <c r="L1775" i="1"/>
  <c r="M1775" i="1"/>
  <c r="N1775" i="1"/>
  <c r="O1775" i="1"/>
  <c r="P1775" i="1"/>
  <c r="Q1775" i="1"/>
  <c r="A1776" i="1"/>
  <c r="B1776" i="1"/>
  <c r="C1776" i="1"/>
  <c r="D1776" i="1"/>
  <c r="E1776" i="1"/>
  <c r="F1776" i="1"/>
  <c r="G1776" i="1"/>
  <c r="H1776" i="1"/>
  <c r="I1776" i="1"/>
  <c r="J1776" i="1"/>
  <c r="K1776" i="1"/>
  <c r="L1776" i="1"/>
  <c r="M1776" i="1"/>
  <c r="N1776" i="1"/>
  <c r="O1776" i="1"/>
  <c r="P1776" i="1"/>
  <c r="Q1776" i="1"/>
  <c r="A1777" i="1"/>
  <c r="B1777" i="1"/>
  <c r="C1777" i="1"/>
  <c r="D1777" i="1"/>
  <c r="E1777" i="1"/>
  <c r="F1777" i="1"/>
  <c r="G1777" i="1"/>
  <c r="H1777" i="1"/>
  <c r="I1777" i="1"/>
  <c r="J1777" i="1"/>
  <c r="K1777" i="1"/>
  <c r="L1777" i="1"/>
  <c r="M1777" i="1"/>
  <c r="N1777" i="1"/>
  <c r="O1777" i="1"/>
  <c r="P1777" i="1"/>
  <c r="Q1777" i="1"/>
  <c r="A1778" i="1"/>
  <c r="B1778" i="1"/>
  <c r="C1778" i="1"/>
  <c r="D1778" i="1"/>
  <c r="E1778" i="1"/>
  <c r="F1778" i="1"/>
  <c r="G1778" i="1"/>
  <c r="H1778" i="1"/>
  <c r="I1778" i="1"/>
  <c r="J1778" i="1"/>
  <c r="K1778" i="1"/>
  <c r="L1778" i="1"/>
  <c r="M1778" i="1"/>
  <c r="N1778" i="1"/>
  <c r="O1778" i="1"/>
  <c r="P1778" i="1"/>
  <c r="Q1778" i="1"/>
  <c r="A1779" i="1"/>
  <c r="B1779" i="1"/>
  <c r="C1779" i="1"/>
  <c r="D1779" i="1"/>
  <c r="E1779" i="1"/>
  <c r="F1779" i="1"/>
  <c r="G1779" i="1"/>
  <c r="H1779" i="1"/>
  <c r="I1779" i="1"/>
  <c r="J1779" i="1"/>
  <c r="K1779" i="1"/>
  <c r="L1779" i="1"/>
  <c r="M1779" i="1"/>
  <c r="N1779" i="1"/>
  <c r="O1779" i="1"/>
  <c r="P1779" i="1"/>
  <c r="Q1779" i="1"/>
  <c r="A1780" i="1"/>
  <c r="B1780" i="1"/>
  <c r="C1780" i="1"/>
  <c r="D1780" i="1"/>
  <c r="E1780" i="1"/>
  <c r="F1780" i="1"/>
  <c r="G1780" i="1"/>
  <c r="H1780" i="1"/>
  <c r="I1780" i="1"/>
  <c r="J1780" i="1"/>
  <c r="K1780" i="1"/>
  <c r="L1780" i="1"/>
  <c r="M1780" i="1"/>
  <c r="N1780" i="1"/>
  <c r="O1780" i="1"/>
  <c r="P1780" i="1"/>
  <c r="Q1780" i="1"/>
  <c r="A1781" i="1"/>
  <c r="B1781" i="1"/>
  <c r="C1781" i="1"/>
  <c r="D1781" i="1"/>
  <c r="E1781" i="1"/>
  <c r="F1781" i="1"/>
  <c r="G1781" i="1"/>
  <c r="H1781" i="1"/>
  <c r="I1781" i="1"/>
  <c r="J1781" i="1"/>
  <c r="K1781" i="1"/>
  <c r="L1781" i="1"/>
  <c r="M1781" i="1"/>
  <c r="N1781" i="1"/>
  <c r="O1781" i="1"/>
  <c r="P1781" i="1"/>
  <c r="Q1781" i="1"/>
  <c r="A1782" i="1"/>
  <c r="B1782" i="1"/>
  <c r="C1782" i="1"/>
  <c r="D1782" i="1"/>
  <c r="E1782" i="1"/>
  <c r="F1782" i="1"/>
  <c r="G1782" i="1"/>
  <c r="H1782" i="1"/>
  <c r="I1782" i="1"/>
  <c r="J1782" i="1"/>
  <c r="K1782" i="1"/>
  <c r="L1782" i="1"/>
  <c r="M1782" i="1"/>
  <c r="N1782" i="1"/>
  <c r="O1782" i="1"/>
  <c r="P1782" i="1"/>
  <c r="Q1782" i="1"/>
  <c r="A1783" i="1"/>
  <c r="B1783" i="1"/>
  <c r="C1783" i="1"/>
  <c r="D1783" i="1"/>
  <c r="E1783" i="1"/>
  <c r="F1783" i="1"/>
  <c r="G1783" i="1"/>
  <c r="H1783" i="1"/>
  <c r="I1783" i="1"/>
  <c r="J1783" i="1"/>
  <c r="K1783" i="1"/>
  <c r="L1783" i="1"/>
  <c r="M1783" i="1"/>
  <c r="N1783" i="1"/>
  <c r="O1783" i="1"/>
  <c r="P1783" i="1"/>
  <c r="Q1783" i="1"/>
  <c r="A1784" i="1"/>
  <c r="B1784" i="1"/>
  <c r="C1784" i="1"/>
  <c r="E1784" i="1"/>
  <c r="F1784" i="1"/>
  <c r="G1784" i="1"/>
  <c r="H1784" i="1"/>
  <c r="I1784" i="1"/>
  <c r="J1784" i="1"/>
  <c r="K1784" i="1"/>
  <c r="L1784" i="1"/>
  <c r="M1784" i="1"/>
  <c r="N1784" i="1"/>
  <c r="O1784" i="1"/>
  <c r="P1784" i="1"/>
  <c r="Q1784" i="1"/>
  <c r="A1785" i="1"/>
  <c r="B1785" i="1"/>
  <c r="C1785" i="1"/>
  <c r="E1785" i="1"/>
  <c r="F1785" i="1"/>
  <c r="G1785" i="1"/>
  <c r="H1785" i="1"/>
  <c r="I1785" i="1"/>
  <c r="J1785" i="1"/>
  <c r="K1785" i="1"/>
  <c r="L1785" i="1"/>
  <c r="M1785" i="1"/>
  <c r="N1785" i="1"/>
  <c r="O1785" i="1"/>
  <c r="P1785" i="1"/>
  <c r="Q1785" i="1"/>
  <c r="A1786" i="1"/>
  <c r="B1786" i="1"/>
  <c r="C1786" i="1"/>
  <c r="E1786" i="1"/>
  <c r="F1786" i="1"/>
  <c r="G1786" i="1"/>
  <c r="H1786" i="1"/>
  <c r="I1786" i="1"/>
  <c r="J1786" i="1"/>
  <c r="K1786" i="1"/>
  <c r="L1786" i="1"/>
  <c r="M1786" i="1"/>
  <c r="N1786" i="1"/>
  <c r="O1786" i="1"/>
  <c r="P1786" i="1"/>
  <c r="Q1786" i="1"/>
  <c r="A1787" i="1"/>
  <c r="B1787" i="1"/>
  <c r="C1787" i="1"/>
  <c r="E1787" i="1"/>
  <c r="F1787" i="1"/>
  <c r="G1787" i="1"/>
  <c r="H1787" i="1"/>
  <c r="I1787" i="1"/>
  <c r="J1787" i="1"/>
  <c r="K1787" i="1"/>
  <c r="L1787" i="1"/>
  <c r="M1787" i="1"/>
  <c r="N1787" i="1"/>
  <c r="O1787" i="1"/>
  <c r="P1787" i="1"/>
  <c r="Q1787" i="1"/>
  <c r="A1788" i="1"/>
  <c r="B1788" i="1"/>
  <c r="C1788" i="1"/>
  <c r="D1788" i="1"/>
  <c r="E1788" i="1"/>
  <c r="F1788" i="1"/>
  <c r="G1788" i="1"/>
  <c r="H1788" i="1"/>
  <c r="I1788" i="1"/>
  <c r="J1788" i="1"/>
  <c r="K1788" i="1"/>
  <c r="L1788" i="1"/>
  <c r="M1788" i="1"/>
  <c r="N1788" i="1"/>
  <c r="O1788" i="1"/>
  <c r="P1788" i="1"/>
  <c r="Q1788" i="1"/>
  <c r="A1789" i="1"/>
  <c r="B1789" i="1"/>
  <c r="C1789" i="1"/>
  <c r="E1789" i="1"/>
  <c r="F1789" i="1"/>
  <c r="G1789" i="1"/>
  <c r="H1789" i="1"/>
  <c r="I1789" i="1"/>
  <c r="J1789" i="1"/>
  <c r="K1789" i="1"/>
  <c r="L1789" i="1"/>
  <c r="M1789" i="1"/>
  <c r="N1789" i="1"/>
  <c r="O1789" i="1"/>
  <c r="P1789" i="1"/>
  <c r="Q1789" i="1"/>
  <c r="A1790" i="1"/>
  <c r="B1790" i="1"/>
  <c r="C1790" i="1"/>
  <c r="D1790" i="1"/>
  <c r="E1790" i="1"/>
  <c r="F1790" i="1"/>
  <c r="G1790" i="1"/>
  <c r="H1790" i="1"/>
  <c r="I1790" i="1"/>
  <c r="J1790" i="1"/>
  <c r="K1790" i="1"/>
  <c r="L1790" i="1"/>
  <c r="M1790" i="1"/>
  <c r="N1790" i="1"/>
  <c r="O1790" i="1"/>
  <c r="P1790" i="1"/>
  <c r="Q1790" i="1"/>
  <c r="A1791" i="1"/>
  <c r="B1791" i="1"/>
  <c r="C1791" i="1"/>
  <c r="D1791" i="1"/>
  <c r="E1791" i="1"/>
  <c r="F1791" i="1"/>
  <c r="G1791" i="1"/>
  <c r="H1791" i="1"/>
  <c r="I1791" i="1"/>
  <c r="J1791" i="1"/>
  <c r="K1791" i="1"/>
  <c r="L1791" i="1"/>
  <c r="M1791" i="1"/>
  <c r="N1791" i="1"/>
  <c r="O1791" i="1"/>
  <c r="P1791" i="1"/>
  <c r="Q1791" i="1"/>
  <c r="A1792" i="1"/>
  <c r="B1792" i="1"/>
  <c r="C1792" i="1"/>
  <c r="D1792" i="1"/>
  <c r="E1792" i="1"/>
  <c r="F1792" i="1"/>
  <c r="G1792" i="1"/>
  <c r="H1792" i="1"/>
  <c r="I1792" i="1"/>
  <c r="J1792" i="1"/>
  <c r="K1792" i="1"/>
  <c r="L1792" i="1"/>
  <c r="M1792" i="1"/>
  <c r="N1792" i="1"/>
  <c r="O1792" i="1"/>
  <c r="P1792" i="1"/>
  <c r="Q1792" i="1"/>
  <c r="A1793" i="1"/>
  <c r="B1793" i="1"/>
  <c r="C1793" i="1"/>
  <c r="D1793" i="1"/>
  <c r="E1793" i="1"/>
  <c r="F1793" i="1"/>
  <c r="G1793" i="1"/>
  <c r="H1793" i="1"/>
  <c r="I1793" i="1"/>
  <c r="J1793" i="1"/>
  <c r="K1793" i="1"/>
  <c r="L1793" i="1"/>
  <c r="M1793" i="1"/>
  <c r="N1793" i="1"/>
  <c r="O1793" i="1"/>
  <c r="P1793" i="1"/>
  <c r="Q1793" i="1"/>
  <c r="A1794" i="1"/>
  <c r="B1794" i="1"/>
  <c r="C1794" i="1"/>
  <c r="D1794" i="1"/>
  <c r="E1794" i="1"/>
  <c r="F1794" i="1"/>
  <c r="G1794" i="1"/>
  <c r="H1794" i="1"/>
  <c r="I1794" i="1"/>
  <c r="J1794" i="1"/>
  <c r="K1794" i="1"/>
  <c r="L1794" i="1"/>
  <c r="M1794" i="1"/>
  <c r="N1794" i="1"/>
  <c r="O1794" i="1"/>
  <c r="P1794" i="1"/>
  <c r="Q1794" i="1"/>
  <c r="A1795" i="1"/>
  <c r="B1795" i="1"/>
  <c r="C1795" i="1"/>
  <c r="D1795" i="1"/>
  <c r="E1795" i="1"/>
  <c r="F1795" i="1"/>
  <c r="G1795" i="1"/>
  <c r="H1795" i="1"/>
  <c r="I1795" i="1"/>
  <c r="J1795" i="1"/>
  <c r="K1795" i="1"/>
  <c r="L1795" i="1"/>
  <c r="M1795" i="1"/>
  <c r="N1795" i="1"/>
  <c r="O1795" i="1"/>
  <c r="P1795" i="1"/>
  <c r="Q1795" i="1"/>
  <c r="A1796" i="1"/>
  <c r="B1796" i="1"/>
  <c r="C1796" i="1"/>
  <c r="D1796" i="1"/>
  <c r="E1796" i="1"/>
  <c r="F1796" i="1"/>
  <c r="G1796" i="1"/>
  <c r="H1796" i="1"/>
  <c r="I1796" i="1"/>
  <c r="J1796" i="1"/>
  <c r="K1796" i="1"/>
  <c r="L1796" i="1"/>
  <c r="M1796" i="1"/>
  <c r="N1796" i="1"/>
  <c r="O1796" i="1"/>
  <c r="P1796" i="1"/>
  <c r="Q1796" i="1"/>
  <c r="A1797" i="1"/>
  <c r="B1797" i="1"/>
  <c r="C1797" i="1"/>
  <c r="D1797" i="1"/>
  <c r="E1797" i="1"/>
  <c r="F1797" i="1"/>
  <c r="G1797" i="1"/>
  <c r="H1797" i="1"/>
  <c r="I1797" i="1"/>
  <c r="J1797" i="1"/>
  <c r="K1797" i="1"/>
  <c r="L1797" i="1"/>
  <c r="M1797" i="1"/>
  <c r="N1797" i="1"/>
  <c r="O1797" i="1"/>
  <c r="P1797" i="1"/>
  <c r="Q1797" i="1"/>
  <c r="A1798" i="1"/>
  <c r="B1798" i="1"/>
  <c r="C1798" i="1"/>
  <c r="D1798" i="1"/>
  <c r="E1798" i="1"/>
  <c r="F1798" i="1"/>
  <c r="G1798" i="1"/>
  <c r="H1798" i="1"/>
  <c r="I1798" i="1"/>
  <c r="J1798" i="1"/>
  <c r="K1798" i="1"/>
  <c r="L1798" i="1"/>
  <c r="M1798" i="1"/>
  <c r="N1798" i="1"/>
  <c r="O1798" i="1"/>
  <c r="P1798" i="1"/>
  <c r="Q1798" i="1"/>
  <c r="A1799" i="1"/>
  <c r="B1799" i="1"/>
  <c r="C1799" i="1"/>
  <c r="D1799" i="1"/>
  <c r="E1799" i="1"/>
  <c r="F1799" i="1"/>
  <c r="G1799" i="1"/>
  <c r="H1799" i="1"/>
  <c r="I1799" i="1"/>
  <c r="J1799" i="1"/>
  <c r="K1799" i="1"/>
  <c r="L1799" i="1"/>
  <c r="M1799" i="1"/>
  <c r="N1799" i="1"/>
  <c r="O1799" i="1"/>
  <c r="P1799" i="1"/>
  <c r="Q1799" i="1"/>
  <c r="A1800" i="1"/>
  <c r="B1800" i="1"/>
  <c r="C1800" i="1"/>
  <c r="D1800" i="1"/>
  <c r="E1800" i="1"/>
  <c r="F1800" i="1"/>
  <c r="G1800" i="1"/>
  <c r="H1800" i="1"/>
  <c r="I1800" i="1"/>
  <c r="J1800" i="1"/>
  <c r="K1800" i="1"/>
  <c r="L1800" i="1"/>
  <c r="M1800" i="1"/>
  <c r="N1800" i="1"/>
  <c r="O1800" i="1"/>
  <c r="P1800" i="1"/>
  <c r="Q1800" i="1"/>
  <c r="A1801" i="1"/>
  <c r="B1801" i="1"/>
  <c r="C1801" i="1"/>
  <c r="D1801" i="1"/>
  <c r="E1801" i="1"/>
  <c r="F1801" i="1"/>
  <c r="G1801" i="1"/>
  <c r="H1801" i="1"/>
  <c r="I1801" i="1"/>
  <c r="J1801" i="1"/>
  <c r="K1801" i="1"/>
  <c r="L1801" i="1"/>
  <c r="M1801" i="1"/>
  <c r="N1801" i="1"/>
  <c r="O1801" i="1"/>
  <c r="P1801" i="1"/>
  <c r="Q1801" i="1"/>
  <c r="A1802" i="1"/>
  <c r="B1802" i="1"/>
  <c r="C1802" i="1"/>
  <c r="D1802" i="1"/>
  <c r="E1802" i="1"/>
  <c r="F1802" i="1"/>
  <c r="G1802" i="1"/>
  <c r="H1802" i="1"/>
  <c r="I1802" i="1"/>
  <c r="J1802" i="1"/>
  <c r="K1802" i="1"/>
  <c r="L1802" i="1"/>
  <c r="M1802" i="1"/>
  <c r="N1802" i="1"/>
  <c r="O1802" i="1"/>
  <c r="P1802" i="1"/>
  <c r="Q1802" i="1"/>
  <c r="A1803" i="1"/>
  <c r="B1803" i="1"/>
  <c r="C1803" i="1"/>
  <c r="D1803" i="1"/>
  <c r="E1803" i="1"/>
  <c r="F1803" i="1"/>
  <c r="G1803" i="1"/>
  <c r="H1803" i="1"/>
  <c r="I1803" i="1"/>
  <c r="J1803" i="1"/>
  <c r="K1803" i="1"/>
  <c r="L1803" i="1"/>
  <c r="M1803" i="1"/>
  <c r="N1803" i="1"/>
  <c r="O1803" i="1"/>
  <c r="P1803" i="1"/>
  <c r="Q1803" i="1"/>
  <c r="A1804" i="1"/>
  <c r="B1804" i="1"/>
  <c r="C1804" i="1"/>
  <c r="D1804" i="1"/>
  <c r="E1804" i="1"/>
  <c r="F1804" i="1"/>
  <c r="G1804" i="1"/>
  <c r="H1804" i="1"/>
  <c r="I1804" i="1"/>
  <c r="J1804" i="1"/>
  <c r="K1804" i="1"/>
  <c r="L1804" i="1"/>
  <c r="M1804" i="1"/>
  <c r="N1804" i="1"/>
  <c r="O1804" i="1"/>
  <c r="P1804" i="1"/>
  <c r="Q1804" i="1"/>
  <c r="A1805" i="1"/>
  <c r="B1805" i="1"/>
  <c r="C1805" i="1"/>
  <c r="D1805" i="1"/>
  <c r="E1805" i="1"/>
  <c r="F1805" i="1"/>
  <c r="G1805" i="1"/>
  <c r="H1805" i="1"/>
  <c r="I1805" i="1"/>
  <c r="J1805" i="1"/>
  <c r="K1805" i="1"/>
  <c r="L1805" i="1"/>
  <c r="M1805" i="1"/>
  <c r="N1805" i="1"/>
  <c r="O1805" i="1"/>
  <c r="P1805" i="1"/>
  <c r="Q1805" i="1"/>
  <c r="A1806" i="1"/>
  <c r="B1806" i="1"/>
  <c r="C1806" i="1"/>
  <c r="D1806" i="1"/>
  <c r="E1806" i="1"/>
  <c r="F1806" i="1"/>
  <c r="G1806" i="1"/>
  <c r="H1806" i="1"/>
  <c r="I1806" i="1"/>
  <c r="J1806" i="1"/>
  <c r="K1806" i="1"/>
  <c r="L1806" i="1"/>
  <c r="M1806" i="1"/>
  <c r="N1806" i="1"/>
  <c r="O1806" i="1"/>
  <c r="P1806" i="1"/>
  <c r="Q1806" i="1"/>
  <c r="A1807" i="1"/>
  <c r="B1807" i="1"/>
  <c r="C1807" i="1"/>
  <c r="D1807" i="1"/>
  <c r="E1807" i="1"/>
  <c r="F1807" i="1"/>
  <c r="G1807" i="1"/>
  <c r="H1807" i="1"/>
  <c r="I1807" i="1"/>
  <c r="J1807" i="1"/>
  <c r="K1807" i="1"/>
  <c r="L1807" i="1"/>
  <c r="M1807" i="1"/>
  <c r="N1807" i="1"/>
  <c r="O1807" i="1"/>
  <c r="P1807" i="1"/>
  <c r="Q1807" i="1"/>
  <c r="A1808" i="1"/>
  <c r="B1808" i="1"/>
  <c r="C1808" i="1"/>
  <c r="D1808" i="1"/>
  <c r="E1808" i="1"/>
  <c r="F1808" i="1"/>
  <c r="G1808" i="1"/>
  <c r="H1808" i="1"/>
  <c r="I1808" i="1"/>
  <c r="J1808" i="1"/>
  <c r="K1808" i="1"/>
  <c r="L1808" i="1"/>
  <c r="M1808" i="1"/>
  <c r="N1808" i="1"/>
  <c r="O1808" i="1"/>
  <c r="P1808" i="1"/>
  <c r="Q1808" i="1"/>
  <c r="A1809" i="1"/>
  <c r="B1809" i="1"/>
  <c r="C1809" i="1"/>
  <c r="D1809" i="1"/>
  <c r="E1809" i="1"/>
  <c r="F1809" i="1"/>
  <c r="G1809" i="1"/>
  <c r="H1809" i="1"/>
  <c r="I1809" i="1"/>
  <c r="J1809" i="1"/>
  <c r="K1809" i="1"/>
  <c r="L1809" i="1"/>
  <c r="M1809" i="1"/>
  <c r="N1809" i="1"/>
  <c r="O1809" i="1"/>
  <c r="P1809" i="1"/>
  <c r="Q1809" i="1"/>
  <c r="A1810" i="1"/>
  <c r="B1810" i="1"/>
  <c r="C1810" i="1"/>
  <c r="D1810" i="1"/>
  <c r="E1810" i="1"/>
  <c r="F1810" i="1"/>
  <c r="G1810" i="1"/>
  <c r="H1810" i="1"/>
  <c r="I1810" i="1"/>
  <c r="J1810" i="1"/>
  <c r="K1810" i="1"/>
  <c r="L1810" i="1"/>
  <c r="M1810" i="1"/>
  <c r="N1810" i="1"/>
  <c r="O1810" i="1"/>
  <c r="P1810" i="1"/>
  <c r="Q1810" i="1"/>
  <c r="A1811" i="1"/>
  <c r="B1811" i="1"/>
  <c r="C1811" i="1"/>
  <c r="D1811" i="1"/>
  <c r="E1811" i="1"/>
  <c r="F1811" i="1"/>
  <c r="G1811" i="1"/>
  <c r="H1811" i="1"/>
  <c r="I1811" i="1"/>
  <c r="J1811" i="1"/>
  <c r="K1811" i="1"/>
  <c r="L1811" i="1"/>
  <c r="M1811" i="1"/>
  <c r="N1811" i="1"/>
  <c r="O1811" i="1"/>
  <c r="P1811" i="1"/>
  <c r="Q1811" i="1"/>
  <c r="A1812" i="1"/>
  <c r="B1812" i="1"/>
  <c r="C1812" i="1"/>
  <c r="D1812" i="1"/>
  <c r="E1812" i="1"/>
  <c r="F1812" i="1"/>
  <c r="G1812" i="1"/>
  <c r="H1812" i="1"/>
  <c r="I1812" i="1"/>
  <c r="J1812" i="1"/>
  <c r="K1812" i="1"/>
  <c r="L1812" i="1"/>
  <c r="M1812" i="1"/>
  <c r="N1812" i="1"/>
  <c r="O1812" i="1"/>
  <c r="P1812" i="1"/>
  <c r="Q1812" i="1"/>
  <c r="A1813" i="1"/>
  <c r="B1813" i="1"/>
  <c r="C1813" i="1"/>
  <c r="D1813" i="1"/>
  <c r="E1813" i="1"/>
  <c r="F1813" i="1"/>
  <c r="G1813" i="1"/>
  <c r="H1813" i="1"/>
  <c r="I1813" i="1"/>
  <c r="J1813" i="1"/>
  <c r="K1813" i="1"/>
  <c r="L1813" i="1"/>
  <c r="M1813" i="1"/>
  <c r="N1813" i="1"/>
  <c r="O1813" i="1"/>
  <c r="P1813" i="1"/>
  <c r="Q1813" i="1"/>
  <c r="A1814" i="1"/>
  <c r="B1814" i="1"/>
  <c r="C1814" i="1"/>
  <c r="D1814" i="1"/>
  <c r="E1814" i="1"/>
  <c r="F1814" i="1"/>
  <c r="G1814" i="1"/>
  <c r="H1814" i="1"/>
  <c r="I1814" i="1"/>
  <c r="J1814" i="1"/>
  <c r="K1814" i="1"/>
  <c r="L1814" i="1"/>
  <c r="M1814" i="1"/>
  <c r="N1814" i="1"/>
  <c r="O1814" i="1"/>
  <c r="P1814" i="1"/>
  <c r="Q1814" i="1"/>
  <c r="A1815" i="1"/>
  <c r="B1815" i="1"/>
  <c r="C1815" i="1"/>
  <c r="D1815" i="1"/>
  <c r="E1815" i="1"/>
  <c r="F1815" i="1"/>
  <c r="G1815" i="1"/>
  <c r="H1815" i="1"/>
  <c r="I1815" i="1"/>
  <c r="J1815" i="1"/>
  <c r="K1815" i="1"/>
  <c r="L1815" i="1"/>
  <c r="M1815" i="1"/>
  <c r="N1815" i="1"/>
  <c r="O1815" i="1"/>
  <c r="P1815" i="1"/>
  <c r="Q1815" i="1"/>
  <c r="A1816" i="1"/>
  <c r="B1816" i="1"/>
  <c r="C1816" i="1"/>
  <c r="D1816" i="1"/>
  <c r="E1816" i="1"/>
  <c r="F1816" i="1"/>
  <c r="G1816" i="1"/>
  <c r="H1816" i="1"/>
  <c r="I1816" i="1"/>
  <c r="J1816" i="1"/>
  <c r="K1816" i="1"/>
  <c r="L1816" i="1"/>
  <c r="M1816" i="1"/>
  <c r="N1816" i="1"/>
  <c r="O1816" i="1"/>
  <c r="P1816" i="1"/>
  <c r="Q1816" i="1"/>
  <c r="A1817" i="1"/>
  <c r="B1817" i="1"/>
  <c r="C1817" i="1"/>
  <c r="D1817" i="1"/>
  <c r="E1817" i="1"/>
  <c r="F1817" i="1"/>
  <c r="G1817" i="1"/>
  <c r="H1817" i="1"/>
  <c r="I1817" i="1"/>
  <c r="J1817" i="1"/>
  <c r="K1817" i="1"/>
  <c r="L1817" i="1"/>
  <c r="M1817" i="1"/>
  <c r="N1817" i="1"/>
  <c r="O1817" i="1"/>
  <c r="P1817" i="1"/>
  <c r="Q1817" i="1"/>
  <c r="A1818" i="1"/>
  <c r="B1818" i="1"/>
  <c r="C1818" i="1"/>
  <c r="D1818" i="1"/>
  <c r="E1818" i="1"/>
  <c r="F1818" i="1"/>
  <c r="G1818" i="1"/>
  <c r="H1818" i="1"/>
  <c r="I1818" i="1"/>
  <c r="J1818" i="1"/>
  <c r="K1818" i="1"/>
  <c r="L1818" i="1"/>
  <c r="M1818" i="1"/>
  <c r="N1818" i="1"/>
  <c r="O1818" i="1"/>
  <c r="P1818" i="1"/>
  <c r="Q1818" i="1"/>
  <c r="A1819" i="1"/>
  <c r="B1819" i="1"/>
  <c r="C1819" i="1"/>
  <c r="D1819" i="1"/>
  <c r="E1819" i="1"/>
  <c r="F1819" i="1"/>
  <c r="G1819" i="1"/>
  <c r="H1819" i="1"/>
  <c r="I1819" i="1"/>
  <c r="J1819" i="1"/>
  <c r="K1819" i="1"/>
  <c r="L1819" i="1"/>
  <c r="M1819" i="1"/>
  <c r="N1819" i="1"/>
  <c r="O1819" i="1"/>
  <c r="P1819" i="1"/>
  <c r="Q1819" i="1"/>
  <c r="A1820" i="1"/>
  <c r="B1820" i="1"/>
  <c r="C1820" i="1"/>
  <c r="D1820" i="1"/>
  <c r="E1820" i="1"/>
  <c r="F1820" i="1"/>
  <c r="G1820" i="1"/>
  <c r="H1820" i="1"/>
  <c r="I1820" i="1"/>
  <c r="J1820" i="1"/>
  <c r="K1820" i="1"/>
  <c r="L1820" i="1"/>
  <c r="M1820" i="1"/>
  <c r="N1820" i="1"/>
  <c r="O1820" i="1"/>
  <c r="P1820" i="1"/>
  <c r="Q1820" i="1"/>
  <c r="A1821" i="1"/>
  <c r="B1821" i="1"/>
  <c r="C1821" i="1"/>
  <c r="D1821" i="1"/>
  <c r="E1821" i="1"/>
  <c r="F1821" i="1"/>
  <c r="G1821" i="1"/>
  <c r="H1821" i="1"/>
  <c r="I1821" i="1"/>
  <c r="J1821" i="1"/>
  <c r="K1821" i="1"/>
  <c r="L1821" i="1"/>
  <c r="M1821" i="1"/>
  <c r="N1821" i="1"/>
  <c r="O1821" i="1"/>
  <c r="P1821" i="1"/>
  <c r="Q1821" i="1"/>
  <c r="A1822" i="1"/>
  <c r="B1822" i="1"/>
  <c r="C1822" i="1"/>
  <c r="D1822" i="1"/>
  <c r="E1822" i="1"/>
  <c r="F1822" i="1"/>
  <c r="G1822" i="1"/>
  <c r="H1822" i="1"/>
  <c r="I1822" i="1"/>
  <c r="J1822" i="1"/>
  <c r="K1822" i="1"/>
  <c r="L1822" i="1"/>
  <c r="M1822" i="1"/>
  <c r="N1822" i="1"/>
  <c r="O1822" i="1"/>
  <c r="P1822" i="1"/>
  <c r="Q1822" i="1"/>
  <c r="A1823" i="1"/>
  <c r="B1823" i="1"/>
  <c r="C1823" i="1"/>
  <c r="D1823" i="1"/>
  <c r="E1823" i="1"/>
  <c r="F1823" i="1"/>
  <c r="G1823" i="1"/>
  <c r="H1823" i="1"/>
  <c r="I1823" i="1"/>
  <c r="J1823" i="1"/>
  <c r="K1823" i="1"/>
  <c r="L1823" i="1"/>
  <c r="M1823" i="1"/>
  <c r="N1823" i="1"/>
  <c r="O1823" i="1"/>
  <c r="P1823" i="1"/>
  <c r="Q1823" i="1"/>
  <c r="A1824" i="1"/>
  <c r="B1824" i="1"/>
  <c r="C1824" i="1"/>
  <c r="D1824" i="1"/>
  <c r="E1824" i="1"/>
  <c r="F1824" i="1"/>
  <c r="G1824" i="1"/>
  <c r="H1824" i="1"/>
  <c r="I1824" i="1"/>
  <c r="J1824" i="1"/>
  <c r="K1824" i="1"/>
  <c r="L1824" i="1"/>
  <c r="M1824" i="1"/>
  <c r="N1824" i="1"/>
  <c r="O1824" i="1"/>
  <c r="P1824" i="1"/>
  <c r="Q1824" i="1"/>
  <c r="A1825" i="1"/>
  <c r="B1825" i="1"/>
  <c r="C1825" i="1"/>
  <c r="D1825" i="1"/>
  <c r="E1825" i="1"/>
  <c r="F1825" i="1"/>
  <c r="G1825" i="1"/>
  <c r="H1825" i="1"/>
  <c r="I1825" i="1"/>
  <c r="J1825" i="1"/>
  <c r="K1825" i="1"/>
  <c r="L1825" i="1"/>
  <c r="M1825" i="1"/>
  <c r="N1825" i="1"/>
  <c r="O1825" i="1"/>
  <c r="P1825" i="1"/>
  <c r="Q1825" i="1"/>
  <c r="A1826" i="1"/>
  <c r="B1826" i="1"/>
  <c r="C1826" i="1"/>
  <c r="D1826" i="1"/>
  <c r="E1826" i="1"/>
  <c r="F1826" i="1"/>
  <c r="G1826" i="1"/>
  <c r="H1826" i="1"/>
  <c r="I1826" i="1"/>
  <c r="J1826" i="1"/>
  <c r="K1826" i="1"/>
  <c r="L1826" i="1"/>
  <c r="M1826" i="1"/>
  <c r="N1826" i="1"/>
  <c r="O1826" i="1"/>
  <c r="P1826" i="1"/>
  <c r="Q1826" i="1"/>
  <c r="A1827" i="1"/>
  <c r="B1827" i="1"/>
  <c r="C1827" i="1"/>
  <c r="D1827" i="1"/>
  <c r="E1827" i="1"/>
  <c r="F1827" i="1"/>
  <c r="G1827" i="1"/>
  <c r="H1827" i="1"/>
  <c r="I1827" i="1"/>
  <c r="J1827" i="1"/>
  <c r="K1827" i="1"/>
  <c r="L1827" i="1"/>
  <c r="M1827" i="1"/>
  <c r="N1827" i="1"/>
  <c r="O1827" i="1"/>
  <c r="P1827" i="1"/>
  <c r="Q1827" i="1"/>
  <c r="A1828" i="1"/>
  <c r="B1828" i="1"/>
  <c r="C1828" i="1"/>
  <c r="D1828" i="1"/>
  <c r="E1828" i="1"/>
  <c r="F1828" i="1"/>
  <c r="G1828" i="1"/>
  <c r="H1828" i="1"/>
  <c r="I1828" i="1"/>
  <c r="J1828" i="1"/>
  <c r="K1828" i="1"/>
  <c r="L1828" i="1"/>
  <c r="M1828" i="1"/>
  <c r="N1828" i="1"/>
  <c r="O1828" i="1"/>
  <c r="P1828" i="1"/>
  <c r="Q1828" i="1"/>
  <c r="A1829" i="1"/>
  <c r="B1829" i="1"/>
  <c r="C1829" i="1"/>
  <c r="D1829" i="1"/>
  <c r="E1829" i="1"/>
  <c r="F1829" i="1"/>
  <c r="G1829" i="1"/>
  <c r="H1829" i="1"/>
  <c r="I1829" i="1"/>
  <c r="J1829" i="1"/>
  <c r="K1829" i="1"/>
  <c r="L1829" i="1"/>
  <c r="M1829" i="1"/>
  <c r="N1829" i="1"/>
  <c r="O1829" i="1"/>
  <c r="P1829" i="1"/>
  <c r="Q1829" i="1"/>
  <c r="A1830" i="1"/>
  <c r="B1830" i="1"/>
  <c r="C1830" i="1"/>
  <c r="D1830" i="1"/>
  <c r="E1830" i="1"/>
  <c r="F1830" i="1"/>
  <c r="G1830" i="1"/>
  <c r="H1830" i="1"/>
  <c r="I1830" i="1"/>
  <c r="J1830" i="1"/>
  <c r="K1830" i="1"/>
  <c r="L1830" i="1"/>
  <c r="M1830" i="1"/>
  <c r="N1830" i="1"/>
  <c r="O1830" i="1"/>
  <c r="P1830" i="1"/>
  <c r="Q1830" i="1"/>
  <c r="A1831" i="1"/>
  <c r="B1831" i="1"/>
  <c r="C1831" i="1"/>
  <c r="D1831" i="1"/>
  <c r="E1831" i="1"/>
  <c r="F1831" i="1"/>
  <c r="G1831" i="1"/>
  <c r="H1831" i="1"/>
  <c r="I1831" i="1"/>
  <c r="J1831" i="1"/>
  <c r="K1831" i="1"/>
  <c r="L1831" i="1"/>
  <c r="M1831" i="1"/>
  <c r="N1831" i="1"/>
  <c r="O1831" i="1"/>
  <c r="P1831" i="1"/>
  <c r="Q1831" i="1"/>
  <c r="A1832" i="1"/>
  <c r="B1832" i="1"/>
  <c r="C1832" i="1"/>
  <c r="D1832" i="1"/>
  <c r="E1832" i="1"/>
  <c r="F1832" i="1"/>
  <c r="G1832" i="1"/>
  <c r="H1832" i="1"/>
  <c r="I1832" i="1"/>
  <c r="J1832" i="1"/>
  <c r="K1832" i="1"/>
  <c r="L1832" i="1"/>
  <c r="M1832" i="1"/>
  <c r="N1832" i="1"/>
  <c r="O1832" i="1"/>
  <c r="P1832" i="1"/>
  <c r="Q1832" i="1"/>
  <c r="A1833" i="1"/>
  <c r="B1833" i="1"/>
  <c r="C1833" i="1"/>
  <c r="D1833" i="1"/>
  <c r="E1833" i="1"/>
  <c r="F1833" i="1"/>
  <c r="G1833" i="1"/>
  <c r="H1833" i="1"/>
  <c r="I1833" i="1"/>
  <c r="J1833" i="1"/>
  <c r="K1833" i="1"/>
  <c r="L1833" i="1"/>
  <c r="M1833" i="1"/>
  <c r="N1833" i="1"/>
  <c r="O1833" i="1"/>
  <c r="P1833" i="1"/>
  <c r="Q1833" i="1"/>
  <c r="A1834" i="1"/>
  <c r="B1834" i="1"/>
  <c r="C1834" i="1"/>
  <c r="D1834" i="1"/>
  <c r="E1834" i="1"/>
  <c r="F1834" i="1"/>
  <c r="G1834" i="1"/>
  <c r="H1834" i="1"/>
  <c r="I1834" i="1"/>
  <c r="J1834" i="1"/>
  <c r="K1834" i="1"/>
  <c r="L1834" i="1"/>
  <c r="M1834" i="1"/>
  <c r="N1834" i="1"/>
  <c r="O1834" i="1"/>
  <c r="P1834" i="1"/>
  <c r="Q1834" i="1"/>
  <c r="A1835" i="1"/>
  <c r="B1835" i="1"/>
  <c r="C1835" i="1"/>
  <c r="D1835" i="1"/>
  <c r="E1835" i="1"/>
  <c r="F1835" i="1"/>
  <c r="G1835" i="1"/>
  <c r="H1835" i="1"/>
  <c r="I1835" i="1"/>
  <c r="J1835" i="1"/>
  <c r="K1835" i="1"/>
  <c r="L1835" i="1"/>
  <c r="M1835" i="1"/>
  <c r="N1835" i="1"/>
  <c r="O1835" i="1"/>
  <c r="P1835" i="1"/>
  <c r="Q1835" i="1"/>
  <c r="A1836" i="1"/>
  <c r="B1836" i="1"/>
  <c r="C1836" i="1"/>
  <c r="D1836" i="1"/>
  <c r="E1836" i="1"/>
  <c r="F1836" i="1"/>
  <c r="G1836" i="1"/>
  <c r="H1836" i="1"/>
  <c r="I1836" i="1"/>
  <c r="J1836" i="1"/>
  <c r="K1836" i="1"/>
  <c r="L1836" i="1"/>
  <c r="M1836" i="1"/>
  <c r="N1836" i="1"/>
  <c r="O1836" i="1"/>
  <c r="P1836" i="1"/>
  <c r="Q1836" i="1"/>
  <c r="A1837" i="1"/>
  <c r="B1837" i="1"/>
  <c r="C1837" i="1"/>
  <c r="D1837" i="1"/>
  <c r="E1837" i="1"/>
  <c r="F1837" i="1"/>
  <c r="G1837" i="1"/>
  <c r="H1837" i="1"/>
  <c r="I1837" i="1"/>
  <c r="J1837" i="1"/>
  <c r="K1837" i="1"/>
  <c r="L1837" i="1"/>
  <c r="M1837" i="1"/>
  <c r="N1837" i="1"/>
  <c r="O1837" i="1"/>
  <c r="P1837" i="1"/>
  <c r="Q1837" i="1"/>
  <c r="A1838" i="1"/>
  <c r="B1838" i="1"/>
  <c r="C1838" i="1"/>
  <c r="D1838" i="1"/>
  <c r="E1838" i="1"/>
  <c r="F1838" i="1"/>
  <c r="G1838" i="1"/>
  <c r="H1838" i="1"/>
  <c r="I1838" i="1"/>
  <c r="J1838" i="1"/>
  <c r="K1838" i="1"/>
  <c r="L1838" i="1"/>
  <c r="M1838" i="1"/>
  <c r="N1838" i="1"/>
  <c r="O1838" i="1"/>
  <c r="P1838" i="1"/>
  <c r="Q1838" i="1"/>
  <c r="A1839" i="1"/>
  <c r="B1839" i="1"/>
  <c r="C1839" i="1"/>
  <c r="D1839" i="1"/>
  <c r="E1839" i="1"/>
  <c r="F1839" i="1"/>
  <c r="G1839" i="1"/>
  <c r="H1839" i="1"/>
  <c r="I1839" i="1"/>
  <c r="J1839" i="1"/>
  <c r="K1839" i="1"/>
  <c r="L1839" i="1"/>
  <c r="M1839" i="1"/>
  <c r="N1839" i="1"/>
  <c r="O1839" i="1"/>
  <c r="P1839" i="1"/>
  <c r="Q1839" i="1"/>
  <c r="A1840" i="1"/>
  <c r="B1840" i="1"/>
  <c r="C1840" i="1"/>
  <c r="D1840" i="1"/>
  <c r="E1840" i="1"/>
  <c r="F1840" i="1"/>
  <c r="G1840" i="1"/>
  <c r="H1840" i="1"/>
  <c r="I1840" i="1"/>
  <c r="J1840" i="1"/>
  <c r="K1840" i="1"/>
  <c r="L1840" i="1"/>
  <c r="M1840" i="1"/>
  <c r="N1840" i="1"/>
  <c r="O1840" i="1"/>
  <c r="P1840" i="1"/>
  <c r="Q1840" i="1"/>
  <c r="A1841" i="1"/>
  <c r="B1841" i="1"/>
  <c r="C1841" i="1"/>
  <c r="D1841" i="1"/>
  <c r="E1841" i="1"/>
  <c r="F1841" i="1"/>
  <c r="G1841" i="1"/>
  <c r="H1841" i="1"/>
  <c r="I1841" i="1"/>
  <c r="J1841" i="1"/>
  <c r="K1841" i="1"/>
  <c r="L1841" i="1"/>
  <c r="M1841" i="1"/>
  <c r="N1841" i="1"/>
  <c r="O1841" i="1"/>
  <c r="P1841" i="1"/>
  <c r="Q1841" i="1"/>
  <c r="A1842" i="1"/>
  <c r="B1842" i="1"/>
  <c r="C1842" i="1"/>
  <c r="E1842" i="1"/>
  <c r="F1842" i="1"/>
  <c r="G1842" i="1"/>
  <c r="H1842" i="1"/>
  <c r="I1842" i="1"/>
  <c r="J1842" i="1"/>
  <c r="K1842" i="1"/>
  <c r="L1842" i="1"/>
  <c r="M1842" i="1"/>
  <c r="N1842" i="1"/>
  <c r="O1842" i="1"/>
  <c r="P1842" i="1"/>
  <c r="Q1842" i="1"/>
  <c r="A1843" i="1"/>
  <c r="B1843" i="1"/>
  <c r="C1843" i="1"/>
  <c r="D1843" i="1"/>
  <c r="E1843" i="1"/>
  <c r="F1843" i="1"/>
  <c r="G1843" i="1"/>
  <c r="H1843" i="1"/>
  <c r="I1843" i="1"/>
  <c r="J1843" i="1"/>
  <c r="K1843" i="1"/>
  <c r="L1843" i="1"/>
  <c r="M1843" i="1"/>
  <c r="N1843" i="1"/>
  <c r="O1843" i="1"/>
  <c r="P1843" i="1"/>
  <c r="Q1843" i="1"/>
  <c r="A1844" i="1"/>
  <c r="B1844" i="1"/>
  <c r="C1844" i="1"/>
  <c r="D1844" i="1"/>
  <c r="E1844" i="1"/>
  <c r="F1844" i="1"/>
  <c r="G1844" i="1"/>
  <c r="H1844" i="1"/>
  <c r="I1844" i="1"/>
  <c r="J1844" i="1"/>
  <c r="K1844" i="1"/>
  <c r="L1844" i="1"/>
  <c r="M1844" i="1"/>
  <c r="N1844" i="1"/>
  <c r="O1844" i="1"/>
  <c r="P1844" i="1"/>
  <c r="Q1844" i="1"/>
  <c r="A1845" i="1"/>
  <c r="B1845" i="1"/>
  <c r="C1845" i="1"/>
  <c r="D1845" i="1"/>
  <c r="E1845" i="1"/>
  <c r="F1845" i="1"/>
  <c r="G1845" i="1"/>
  <c r="H1845" i="1"/>
  <c r="I1845" i="1"/>
  <c r="J1845" i="1"/>
  <c r="K1845" i="1"/>
  <c r="L1845" i="1"/>
  <c r="M1845" i="1"/>
  <c r="N1845" i="1"/>
  <c r="O1845" i="1"/>
  <c r="P1845" i="1"/>
  <c r="Q1845" i="1"/>
  <c r="A1846" i="1"/>
  <c r="B1846" i="1"/>
  <c r="C1846" i="1"/>
  <c r="D1846" i="1"/>
  <c r="E1846" i="1"/>
  <c r="F1846" i="1"/>
  <c r="G1846" i="1"/>
  <c r="H1846" i="1"/>
  <c r="I1846" i="1"/>
  <c r="J1846" i="1"/>
  <c r="K1846" i="1"/>
  <c r="L1846" i="1"/>
  <c r="M1846" i="1"/>
  <c r="N1846" i="1"/>
  <c r="O1846" i="1"/>
  <c r="P1846" i="1"/>
  <c r="Q1846" i="1"/>
  <c r="A1847" i="1"/>
  <c r="B1847" i="1"/>
  <c r="C1847" i="1"/>
  <c r="D1847" i="1"/>
  <c r="E1847" i="1"/>
  <c r="F1847" i="1"/>
  <c r="G1847" i="1"/>
  <c r="H1847" i="1"/>
  <c r="I1847" i="1"/>
  <c r="J1847" i="1"/>
  <c r="K1847" i="1"/>
  <c r="L1847" i="1"/>
  <c r="M1847" i="1"/>
  <c r="N1847" i="1"/>
  <c r="O1847" i="1"/>
  <c r="P1847" i="1"/>
  <c r="Q1847" i="1"/>
  <c r="A1848" i="1"/>
  <c r="B1848" i="1"/>
  <c r="C1848" i="1"/>
  <c r="D1848" i="1"/>
  <c r="E1848" i="1"/>
  <c r="F1848" i="1"/>
  <c r="G1848" i="1"/>
  <c r="H1848" i="1"/>
  <c r="I1848" i="1"/>
  <c r="J1848" i="1"/>
  <c r="K1848" i="1"/>
  <c r="L1848" i="1"/>
  <c r="M1848" i="1"/>
  <c r="N1848" i="1"/>
  <c r="O1848" i="1"/>
  <c r="P1848" i="1"/>
  <c r="Q1848" i="1"/>
  <c r="A1849" i="1"/>
  <c r="B1849" i="1"/>
  <c r="C1849" i="1"/>
  <c r="D1849" i="1"/>
  <c r="E1849" i="1"/>
  <c r="F1849" i="1"/>
  <c r="G1849" i="1"/>
  <c r="H1849" i="1"/>
  <c r="I1849" i="1"/>
  <c r="J1849" i="1"/>
  <c r="K1849" i="1"/>
  <c r="L1849" i="1"/>
  <c r="M1849" i="1"/>
  <c r="N1849" i="1"/>
  <c r="O1849" i="1"/>
  <c r="P1849" i="1"/>
  <c r="Q1849" i="1"/>
  <c r="A1850" i="1"/>
  <c r="B1850" i="1"/>
  <c r="C1850" i="1"/>
  <c r="D1850" i="1"/>
  <c r="E1850" i="1"/>
  <c r="F1850" i="1"/>
  <c r="G1850" i="1"/>
  <c r="H1850" i="1"/>
  <c r="I1850" i="1"/>
  <c r="J1850" i="1"/>
  <c r="K1850" i="1"/>
  <c r="L1850" i="1"/>
  <c r="M1850" i="1"/>
  <c r="N1850" i="1"/>
  <c r="O1850" i="1"/>
  <c r="P1850" i="1"/>
  <c r="Q1850" i="1"/>
  <c r="A1851" i="1"/>
  <c r="B1851" i="1"/>
  <c r="C1851" i="1"/>
  <c r="D1851" i="1"/>
  <c r="E1851" i="1"/>
  <c r="F1851" i="1"/>
  <c r="G1851" i="1"/>
  <c r="H1851" i="1"/>
  <c r="I1851" i="1"/>
  <c r="J1851" i="1"/>
  <c r="K1851" i="1"/>
  <c r="L1851" i="1"/>
  <c r="M1851" i="1"/>
  <c r="N1851" i="1"/>
  <c r="O1851" i="1"/>
  <c r="P1851" i="1"/>
  <c r="Q1851" i="1"/>
  <c r="A1852" i="1"/>
  <c r="B1852" i="1"/>
  <c r="C1852" i="1"/>
  <c r="E1852" i="1"/>
  <c r="F1852" i="1"/>
  <c r="G1852" i="1"/>
  <c r="H1852" i="1"/>
  <c r="I1852" i="1"/>
  <c r="J1852" i="1"/>
  <c r="K1852" i="1"/>
  <c r="L1852" i="1"/>
  <c r="M1852" i="1"/>
  <c r="N1852" i="1"/>
  <c r="O1852" i="1"/>
  <c r="P1852" i="1"/>
  <c r="Q1852" i="1"/>
  <c r="A1853" i="1"/>
  <c r="B1853" i="1"/>
  <c r="C1853" i="1"/>
  <c r="D1853" i="1"/>
  <c r="E1853" i="1"/>
  <c r="F1853" i="1"/>
  <c r="G1853" i="1"/>
  <c r="H1853" i="1"/>
  <c r="I1853" i="1"/>
  <c r="J1853" i="1"/>
  <c r="K1853" i="1"/>
  <c r="L1853" i="1"/>
  <c r="M1853" i="1"/>
  <c r="N1853" i="1"/>
  <c r="O1853" i="1"/>
  <c r="P1853" i="1"/>
  <c r="Q1853" i="1"/>
  <c r="A1854" i="1"/>
  <c r="B1854" i="1"/>
  <c r="C1854" i="1"/>
  <c r="D1854" i="1"/>
  <c r="E1854" i="1"/>
  <c r="F1854" i="1"/>
  <c r="G1854" i="1"/>
  <c r="H1854" i="1"/>
  <c r="I1854" i="1"/>
  <c r="J1854" i="1"/>
  <c r="K1854" i="1"/>
  <c r="L1854" i="1"/>
  <c r="M1854" i="1"/>
  <c r="N1854" i="1"/>
  <c r="O1854" i="1"/>
  <c r="P1854" i="1"/>
  <c r="Q1854" i="1"/>
  <c r="A1855" i="1"/>
  <c r="B1855" i="1"/>
  <c r="C1855" i="1"/>
  <c r="D1855" i="1"/>
  <c r="E1855" i="1"/>
  <c r="F1855" i="1"/>
  <c r="G1855" i="1"/>
  <c r="H1855" i="1"/>
  <c r="I1855" i="1"/>
  <c r="J1855" i="1"/>
  <c r="K1855" i="1"/>
  <c r="L1855" i="1"/>
  <c r="M1855" i="1"/>
  <c r="N1855" i="1"/>
  <c r="O1855" i="1"/>
  <c r="P1855" i="1"/>
  <c r="Q1855" i="1"/>
  <c r="A1856" i="1"/>
  <c r="B1856" i="1"/>
  <c r="C1856" i="1"/>
  <c r="D1856" i="1"/>
  <c r="E1856" i="1"/>
  <c r="F1856" i="1"/>
  <c r="G1856" i="1"/>
  <c r="H1856" i="1"/>
  <c r="I1856" i="1"/>
  <c r="J1856" i="1"/>
  <c r="K1856" i="1"/>
  <c r="L1856" i="1"/>
  <c r="M1856" i="1"/>
  <c r="N1856" i="1"/>
  <c r="O1856" i="1"/>
  <c r="P1856" i="1"/>
  <c r="Q1856" i="1"/>
  <c r="A1857" i="1"/>
  <c r="B1857" i="1"/>
  <c r="C1857" i="1"/>
  <c r="D1857" i="1"/>
  <c r="E1857" i="1"/>
  <c r="F1857" i="1"/>
  <c r="G1857" i="1"/>
  <c r="H1857" i="1"/>
  <c r="I1857" i="1"/>
  <c r="J1857" i="1"/>
  <c r="K1857" i="1"/>
  <c r="L1857" i="1"/>
  <c r="M1857" i="1"/>
  <c r="N1857" i="1"/>
  <c r="O1857" i="1"/>
  <c r="P1857" i="1"/>
  <c r="Q1857" i="1"/>
  <c r="A1858" i="1"/>
  <c r="B1858" i="1"/>
  <c r="C1858" i="1"/>
  <c r="D1858" i="1"/>
  <c r="E1858" i="1"/>
  <c r="F1858" i="1"/>
  <c r="G1858" i="1"/>
  <c r="H1858" i="1"/>
  <c r="I1858" i="1"/>
  <c r="J1858" i="1"/>
  <c r="K1858" i="1"/>
  <c r="L1858" i="1"/>
  <c r="M1858" i="1"/>
  <c r="N1858" i="1"/>
  <c r="O1858" i="1"/>
  <c r="P1858" i="1"/>
  <c r="Q1858" i="1"/>
  <c r="A1859" i="1"/>
  <c r="B1859" i="1"/>
  <c r="C1859" i="1"/>
  <c r="D1859" i="1"/>
  <c r="E1859" i="1"/>
  <c r="F1859" i="1"/>
  <c r="G1859" i="1"/>
  <c r="H1859" i="1"/>
  <c r="I1859" i="1"/>
  <c r="J1859" i="1"/>
  <c r="K1859" i="1"/>
  <c r="L1859" i="1"/>
  <c r="M1859" i="1"/>
  <c r="N1859" i="1"/>
  <c r="O1859" i="1"/>
  <c r="P1859" i="1"/>
  <c r="Q1859" i="1"/>
  <c r="A1860" i="1"/>
  <c r="B1860" i="1"/>
  <c r="C1860" i="1"/>
  <c r="D1860" i="1"/>
  <c r="E1860" i="1"/>
  <c r="F1860" i="1"/>
  <c r="G1860" i="1"/>
  <c r="H1860" i="1"/>
  <c r="I1860" i="1"/>
  <c r="J1860" i="1"/>
  <c r="K1860" i="1"/>
  <c r="L1860" i="1"/>
  <c r="M1860" i="1"/>
  <c r="N1860" i="1"/>
  <c r="O1860" i="1"/>
  <c r="P1860" i="1"/>
  <c r="Q1860" i="1"/>
  <c r="A1861" i="1"/>
  <c r="B1861" i="1"/>
  <c r="C1861" i="1"/>
  <c r="D1861" i="1"/>
  <c r="E1861" i="1"/>
  <c r="F1861" i="1"/>
  <c r="G1861" i="1"/>
  <c r="H1861" i="1"/>
  <c r="I1861" i="1"/>
  <c r="J1861" i="1"/>
  <c r="K1861" i="1"/>
  <c r="L1861" i="1"/>
  <c r="M1861" i="1"/>
  <c r="N1861" i="1"/>
  <c r="O1861" i="1"/>
  <c r="P1861" i="1"/>
  <c r="Q1861" i="1"/>
  <c r="A1862" i="1"/>
  <c r="B1862" i="1"/>
  <c r="C1862" i="1"/>
  <c r="D1862" i="1"/>
  <c r="E1862" i="1"/>
  <c r="F1862" i="1"/>
  <c r="G1862" i="1"/>
  <c r="H1862" i="1"/>
  <c r="I1862" i="1"/>
  <c r="J1862" i="1"/>
  <c r="K1862" i="1"/>
  <c r="L1862" i="1"/>
  <c r="M1862" i="1"/>
  <c r="N1862" i="1"/>
  <c r="O1862" i="1"/>
  <c r="P1862" i="1"/>
  <c r="Q1862" i="1"/>
  <c r="A1863" i="1"/>
  <c r="B1863" i="1"/>
  <c r="C1863" i="1"/>
  <c r="E1863" i="1"/>
  <c r="F1863" i="1"/>
  <c r="G1863" i="1"/>
  <c r="H1863" i="1"/>
  <c r="I1863" i="1"/>
  <c r="J1863" i="1"/>
  <c r="K1863" i="1"/>
  <c r="L1863" i="1"/>
  <c r="M1863" i="1"/>
  <c r="N1863" i="1"/>
  <c r="O1863" i="1"/>
  <c r="P1863" i="1"/>
  <c r="Q1863" i="1"/>
  <c r="A1864" i="1"/>
  <c r="B1864" i="1"/>
  <c r="C1864" i="1"/>
  <c r="E1864" i="1"/>
  <c r="F1864" i="1"/>
  <c r="G1864" i="1"/>
  <c r="H1864" i="1"/>
  <c r="I1864" i="1"/>
  <c r="J1864" i="1"/>
  <c r="K1864" i="1"/>
  <c r="L1864" i="1"/>
  <c r="M1864" i="1"/>
  <c r="N1864" i="1"/>
  <c r="O1864" i="1"/>
  <c r="P1864" i="1"/>
  <c r="Q1864" i="1"/>
  <c r="A1865" i="1"/>
  <c r="B1865" i="1"/>
  <c r="C1865" i="1"/>
  <c r="D1865" i="1"/>
  <c r="E1865" i="1"/>
  <c r="F1865" i="1"/>
  <c r="G1865" i="1"/>
  <c r="H1865" i="1"/>
  <c r="I1865" i="1"/>
  <c r="J1865" i="1"/>
  <c r="K1865" i="1"/>
  <c r="L1865" i="1"/>
  <c r="M1865" i="1"/>
  <c r="N1865" i="1"/>
  <c r="O1865" i="1"/>
  <c r="P1865" i="1"/>
  <c r="Q1865" i="1"/>
  <c r="A1866" i="1"/>
  <c r="B1866" i="1"/>
  <c r="C1866" i="1"/>
  <c r="D1866" i="1"/>
  <c r="E1866" i="1"/>
  <c r="F1866" i="1"/>
  <c r="G1866" i="1"/>
  <c r="H1866" i="1"/>
  <c r="I1866" i="1"/>
  <c r="J1866" i="1"/>
  <c r="K1866" i="1"/>
  <c r="L1866" i="1"/>
  <c r="M1866" i="1"/>
  <c r="N1866" i="1"/>
  <c r="O1866" i="1"/>
  <c r="P1866" i="1"/>
  <c r="Q1866" i="1"/>
  <c r="A1867" i="1"/>
  <c r="B1867" i="1"/>
  <c r="C1867" i="1"/>
  <c r="E1867" i="1"/>
  <c r="F1867" i="1"/>
  <c r="G1867" i="1"/>
  <c r="H1867" i="1"/>
  <c r="I1867" i="1"/>
  <c r="J1867" i="1"/>
  <c r="K1867" i="1"/>
  <c r="L1867" i="1"/>
  <c r="M1867" i="1"/>
  <c r="N1867" i="1"/>
  <c r="O1867" i="1"/>
  <c r="P1867" i="1"/>
  <c r="Q1867" i="1"/>
  <c r="A1868" i="1"/>
  <c r="B1868" i="1"/>
  <c r="C1868" i="1"/>
  <c r="E1868" i="1"/>
  <c r="F1868" i="1"/>
  <c r="G1868" i="1"/>
  <c r="H1868" i="1"/>
  <c r="I1868" i="1"/>
  <c r="J1868" i="1"/>
  <c r="K1868" i="1"/>
  <c r="L1868" i="1"/>
  <c r="M1868" i="1"/>
  <c r="N1868" i="1"/>
  <c r="O1868" i="1"/>
  <c r="P1868" i="1"/>
  <c r="Q1868" i="1"/>
  <c r="A1869" i="1"/>
  <c r="B1869" i="1"/>
  <c r="C1869" i="1"/>
  <c r="E1869" i="1"/>
  <c r="F1869" i="1"/>
  <c r="G1869" i="1"/>
  <c r="H1869" i="1"/>
  <c r="I1869" i="1"/>
  <c r="J1869" i="1"/>
  <c r="K1869" i="1"/>
  <c r="L1869" i="1"/>
  <c r="M1869" i="1"/>
  <c r="N1869" i="1"/>
  <c r="O1869" i="1"/>
  <c r="P1869" i="1"/>
  <c r="Q1869" i="1"/>
  <c r="A1870" i="1"/>
  <c r="B1870" i="1"/>
  <c r="C1870" i="1"/>
  <c r="E1870" i="1"/>
  <c r="F1870" i="1"/>
  <c r="G1870" i="1"/>
  <c r="H1870" i="1"/>
  <c r="I1870" i="1"/>
  <c r="J1870" i="1"/>
  <c r="K1870" i="1"/>
  <c r="L1870" i="1"/>
  <c r="M1870" i="1"/>
  <c r="N1870" i="1"/>
  <c r="O1870" i="1"/>
  <c r="P1870" i="1"/>
  <c r="Q1870" i="1"/>
  <c r="A1871" i="1"/>
  <c r="B1871" i="1"/>
  <c r="C1871" i="1"/>
  <c r="E1871" i="1"/>
  <c r="F1871" i="1"/>
  <c r="G1871" i="1"/>
  <c r="H1871" i="1"/>
  <c r="I1871" i="1"/>
  <c r="J1871" i="1"/>
  <c r="K1871" i="1"/>
  <c r="L1871" i="1"/>
  <c r="M1871" i="1"/>
  <c r="N1871" i="1"/>
  <c r="O1871" i="1"/>
  <c r="P1871" i="1"/>
  <c r="Q1871" i="1"/>
  <c r="A1872" i="1"/>
  <c r="B1872" i="1"/>
  <c r="C1872" i="1"/>
  <c r="E1872" i="1"/>
  <c r="F1872" i="1"/>
  <c r="G1872" i="1"/>
  <c r="H1872" i="1"/>
  <c r="I1872" i="1"/>
  <c r="J1872" i="1"/>
  <c r="K1872" i="1"/>
  <c r="L1872" i="1"/>
  <c r="M1872" i="1"/>
  <c r="N1872" i="1"/>
  <c r="O1872" i="1"/>
  <c r="P1872" i="1"/>
  <c r="Q1872" i="1"/>
  <c r="A1873" i="1"/>
  <c r="B1873" i="1"/>
  <c r="C1873" i="1"/>
  <c r="D1873" i="1"/>
  <c r="E1873" i="1"/>
  <c r="F1873" i="1"/>
  <c r="G1873" i="1"/>
  <c r="H1873" i="1"/>
  <c r="I1873" i="1"/>
  <c r="J1873" i="1"/>
  <c r="K1873" i="1"/>
  <c r="L1873" i="1"/>
  <c r="M1873" i="1"/>
  <c r="N1873" i="1"/>
  <c r="O1873" i="1"/>
  <c r="P1873" i="1"/>
  <c r="Q1873" i="1"/>
  <c r="A1874" i="1"/>
  <c r="B1874" i="1"/>
  <c r="C1874" i="1"/>
  <c r="D1874" i="1"/>
  <c r="E1874" i="1"/>
  <c r="F1874" i="1"/>
  <c r="G1874" i="1"/>
  <c r="H1874" i="1"/>
  <c r="I1874" i="1"/>
  <c r="J1874" i="1"/>
  <c r="K1874" i="1"/>
  <c r="L1874" i="1"/>
  <c r="M1874" i="1"/>
  <c r="N1874" i="1"/>
  <c r="O1874" i="1"/>
  <c r="P1874" i="1"/>
  <c r="Q1874" i="1"/>
  <c r="A1875" i="1"/>
  <c r="B1875" i="1"/>
  <c r="C1875" i="1"/>
  <c r="D1875" i="1"/>
  <c r="E1875" i="1"/>
  <c r="F1875" i="1"/>
  <c r="G1875" i="1"/>
  <c r="H1875" i="1"/>
  <c r="I1875" i="1"/>
  <c r="J1875" i="1"/>
  <c r="K1875" i="1"/>
  <c r="L1875" i="1"/>
  <c r="M1875" i="1"/>
  <c r="N1875" i="1"/>
  <c r="O1875" i="1"/>
  <c r="P1875" i="1"/>
  <c r="Q1875" i="1"/>
  <c r="A1876" i="1"/>
  <c r="B1876" i="1"/>
  <c r="C1876" i="1"/>
  <c r="D1876" i="1"/>
  <c r="E1876" i="1"/>
  <c r="F1876" i="1"/>
  <c r="G1876" i="1"/>
  <c r="H1876" i="1"/>
  <c r="I1876" i="1"/>
  <c r="J1876" i="1"/>
  <c r="K1876" i="1"/>
  <c r="L1876" i="1"/>
  <c r="M1876" i="1"/>
  <c r="N1876" i="1"/>
  <c r="O1876" i="1"/>
  <c r="P1876" i="1"/>
  <c r="Q1876" i="1"/>
  <c r="A1877" i="1"/>
  <c r="B1877" i="1"/>
  <c r="C1877" i="1"/>
  <c r="E1877" i="1"/>
  <c r="F1877" i="1"/>
  <c r="G1877" i="1"/>
  <c r="H1877" i="1"/>
  <c r="I1877" i="1"/>
  <c r="J1877" i="1"/>
  <c r="K1877" i="1"/>
  <c r="L1877" i="1"/>
  <c r="M1877" i="1"/>
  <c r="N1877" i="1"/>
  <c r="O1877" i="1"/>
  <c r="P1877" i="1"/>
  <c r="Q1877" i="1"/>
  <c r="A1878" i="1"/>
  <c r="B1878" i="1"/>
  <c r="C1878" i="1"/>
  <c r="E1878" i="1"/>
  <c r="F1878" i="1"/>
  <c r="G1878" i="1"/>
  <c r="H1878" i="1"/>
  <c r="I1878" i="1"/>
  <c r="J1878" i="1"/>
  <c r="K1878" i="1"/>
  <c r="L1878" i="1"/>
  <c r="M1878" i="1"/>
  <c r="N1878" i="1"/>
  <c r="O1878" i="1"/>
  <c r="P1878" i="1"/>
  <c r="Q1878" i="1"/>
  <c r="A1879" i="1"/>
  <c r="B1879" i="1"/>
  <c r="C1879" i="1"/>
  <c r="E1879" i="1"/>
  <c r="F1879" i="1"/>
  <c r="G1879" i="1"/>
  <c r="H1879" i="1"/>
  <c r="I1879" i="1"/>
  <c r="J1879" i="1"/>
  <c r="K1879" i="1"/>
  <c r="L1879" i="1"/>
  <c r="M1879" i="1"/>
  <c r="N1879" i="1"/>
  <c r="O1879" i="1"/>
  <c r="P1879" i="1"/>
  <c r="Q1879" i="1"/>
  <c r="A1880" i="1"/>
  <c r="B1880" i="1"/>
  <c r="C1880" i="1"/>
  <c r="E1880" i="1"/>
  <c r="F1880" i="1"/>
  <c r="G1880" i="1"/>
  <c r="H1880" i="1"/>
  <c r="I1880" i="1"/>
  <c r="J1880" i="1"/>
  <c r="K1880" i="1"/>
  <c r="L1880" i="1"/>
  <c r="M1880" i="1"/>
  <c r="N1880" i="1"/>
  <c r="O1880" i="1"/>
  <c r="P1880" i="1"/>
  <c r="Q1880" i="1"/>
  <c r="A1881" i="1"/>
  <c r="B1881" i="1"/>
  <c r="C1881" i="1"/>
  <c r="E1881" i="1"/>
  <c r="F1881" i="1"/>
  <c r="G1881" i="1"/>
  <c r="H1881" i="1"/>
  <c r="I1881" i="1"/>
  <c r="J1881" i="1"/>
  <c r="K1881" i="1"/>
  <c r="L1881" i="1"/>
  <c r="M1881" i="1"/>
  <c r="N1881" i="1"/>
  <c r="O1881" i="1"/>
  <c r="P1881" i="1"/>
  <c r="Q1881" i="1"/>
  <c r="A1882" i="1"/>
  <c r="B1882" i="1"/>
  <c r="C1882" i="1"/>
  <c r="E1882" i="1"/>
  <c r="F1882" i="1"/>
  <c r="G1882" i="1"/>
  <c r="H1882" i="1"/>
  <c r="I1882" i="1"/>
  <c r="J1882" i="1"/>
  <c r="K1882" i="1"/>
  <c r="L1882" i="1"/>
  <c r="M1882" i="1"/>
  <c r="N1882" i="1"/>
  <c r="O1882" i="1"/>
  <c r="P1882" i="1"/>
  <c r="Q1882" i="1"/>
  <c r="A1883" i="1"/>
  <c r="B1883" i="1"/>
  <c r="C1883" i="1"/>
  <c r="D1883" i="1"/>
  <c r="E1883" i="1"/>
  <c r="F1883" i="1"/>
  <c r="G1883" i="1"/>
  <c r="H1883" i="1"/>
  <c r="I1883" i="1"/>
  <c r="J1883" i="1"/>
  <c r="K1883" i="1"/>
  <c r="L1883" i="1"/>
  <c r="M1883" i="1"/>
  <c r="N1883" i="1"/>
  <c r="O1883" i="1"/>
  <c r="P1883" i="1"/>
  <c r="Q1883" i="1"/>
  <c r="A1884" i="1"/>
  <c r="B1884" i="1"/>
  <c r="C1884" i="1"/>
  <c r="D1884" i="1"/>
  <c r="E1884" i="1"/>
  <c r="F1884" i="1"/>
  <c r="G1884" i="1"/>
  <c r="H1884" i="1"/>
  <c r="I1884" i="1"/>
  <c r="J1884" i="1"/>
  <c r="K1884" i="1"/>
  <c r="L1884" i="1"/>
  <c r="M1884" i="1"/>
  <c r="N1884" i="1"/>
  <c r="O1884" i="1"/>
  <c r="P1884" i="1"/>
  <c r="Q1884" i="1"/>
  <c r="A1885" i="1"/>
  <c r="B1885" i="1"/>
  <c r="C1885" i="1"/>
  <c r="D1885" i="1"/>
  <c r="E1885" i="1"/>
  <c r="F1885" i="1"/>
  <c r="G1885" i="1"/>
  <c r="H1885" i="1"/>
  <c r="I1885" i="1"/>
  <c r="J1885" i="1"/>
  <c r="K1885" i="1"/>
  <c r="L1885" i="1"/>
  <c r="M1885" i="1"/>
  <c r="N1885" i="1"/>
  <c r="O1885" i="1"/>
  <c r="P1885" i="1"/>
  <c r="Q1885" i="1"/>
  <c r="A1886" i="1"/>
  <c r="B1886" i="1"/>
  <c r="C1886" i="1"/>
  <c r="D1886" i="1"/>
  <c r="E1886" i="1"/>
  <c r="F1886" i="1"/>
  <c r="G1886" i="1"/>
  <c r="H1886" i="1"/>
  <c r="I1886" i="1"/>
  <c r="J1886" i="1"/>
  <c r="K1886" i="1"/>
  <c r="L1886" i="1"/>
  <c r="M1886" i="1"/>
  <c r="N1886" i="1"/>
  <c r="O1886" i="1"/>
  <c r="P1886" i="1"/>
  <c r="Q1886" i="1"/>
  <c r="A1887" i="1"/>
  <c r="B1887" i="1"/>
  <c r="C1887" i="1"/>
  <c r="E1887" i="1"/>
  <c r="F1887" i="1"/>
  <c r="G1887" i="1"/>
  <c r="H1887" i="1"/>
  <c r="I1887" i="1"/>
  <c r="J1887" i="1"/>
  <c r="K1887" i="1"/>
  <c r="L1887" i="1"/>
  <c r="M1887" i="1"/>
  <c r="N1887" i="1"/>
  <c r="O1887" i="1"/>
  <c r="P1887" i="1"/>
  <c r="Q1887" i="1"/>
  <c r="A1888" i="1"/>
  <c r="B1888" i="1"/>
  <c r="C1888" i="1"/>
  <c r="E1888" i="1"/>
  <c r="F1888" i="1"/>
  <c r="G1888" i="1"/>
  <c r="H1888" i="1"/>
  <c r="I1888" i="1"/>
  <c r="J1888" i="1"/>
  <c r="K1888" i="1"/>
  <c r="L1888" i="1"/>
  <c r="M1888" i="1"/>
  <c r="N1888" i="1"/>
  <c r="O1888" i="1"/>
  <c r="P1888" i="1"/>
  <c r="Q1888" i="1"/>
  <c r="A1889" i="1"/>
  <c r="B1889" i="1"/>
  <c r="C1889" i="1"/>
  <c r="D1889" i="1"/>
  <c r="E1889" i="1"/>
  <c r="F1889" i="1"/>
  <c r="G1889" i="1"/>
  <c r="H1889" i="1"/>
  <c r="I1889" i="1"/>
  <c r="J1889" i="1"/>
  <c r="K1889" i="1"/>
  <c r="L1889" i="1"/>
  <c r="M1889" i="1"/>
  <c r="N1889" i="1"/>
  <c r="O1889" i="1"/>
  <c r="P1889" i="1"/>
  <c r="Q1889" i="1"/>
  <c r="A1890" i="1"/>
  <c r="B1890" i="1"/>
  <c r="C1890" i="1"/>
  <c r="D1890" i="1"/>
  <c r="E1890" i="1"/>
  <c r="F1890" i="1"/>
  <c r="G1890" i="1"/>
  <c r="H1890" i="1"/>
  <c r="I1890" i="1"/>
  <c r="J1890" i="1"/>
  <c r="K1890" i="1"/>
  <c r="L1890" i="1"/>
  <c r="M1890" i="1"/>
  <c r="N1890" i="1"/>
  <c r="O1890" i="1"/>
  <c r="P1890" i="1"/>
  <c r="Q1890" i="1"/>
  <c r="A1891" i="1"/>
  <c r="B1891" i="1"/>
  <c r="C1891" i="1"/>
  <c r="D1891" i="1"/>
  <c r="E1891" i="1"/>
  <c r="F1891" i="1"/>
  <c r="G1891" i="1"/>
  <c r="H1891" i="1"/>
  <c r="I1891" i="1"/>
  <c r="J1891" i="1"/>
  <c r="K1891" i="1"/>
  <c r="L1891" i="1"/>
  <c r="M1891" i="1"/>
  <c r="N1891" i="1"/>
  <c r="O1891" i="1"/>
  <c r="P1891" i="1"/>
  <c r="Q1891" i="1"/>
  <c r="A1892" i="1"/>
  <c r="B1892" i="1"/>
  <c r="C1892" i="1"/>
  <c r="D1892" i="1"/>
  <c r="E1892" i="1"/>
  <c r="F1892" i="1"/>
  <c r="G1892" i="1"/>
  <c r="H1892" i="1"/>
  <c r="I1892" i="1"/>
  <c r="J1892" i="1"/>
  <c r="K1892" i="1"/>
  <c r="L1892" i="1"/>
  <c r="M1892" i="1"/>
  <c r="N1892" i="1"/>
  <c r="O1892" i="1"/>
  <c r="P1892" i="1"/>
  <c r="Q1892" i="1"/>
  <c r="A1893" i="1"/>
  <c r="B1893" i="1"/>
  <c r="C1893" i="1"/>
  <c r="D1893" i="1"/>
  <c r="E1893" i="1"/>
  <c r="F1893" i="1"/>
  <c r="G1893" i="1"/>
  <c r="H1893" i="1"/>
  <c r="I1893" i="1"/>
  <c r="J1893" i="1"/>
  <c r="K1893" i="1"/>
  <c r="L1893" i="1"/>
  <c r="M1893" i="1"/>
  <c r="N1893" i="1"/>
  <c r="O1893" i="1"/>
  <c r="P1893" i="1"/>
  <c r="Q1893" i="1"/>
  <c r="A1894" i="1"/>
  <c r="B1894" i="1"/>
  <c r="C1894" i="1"/>
  <c r="D1894" i="1"/>
  <c r="E1894" i="1"/>
  <c r="F1894" i="1"/>
  <c r="G1894" i="1"/>
  <c r="H1894" i="1"/>
  <c r="I1894" i="1"/>
  <c r="J1894" i="1"/>
  <c r="K1894" i="1"/>
  <c r="L1894" i="1"/>
  <c r="M1894" i="1"/>
  <c r="N1894" i="1"/>
  <c r="O1894" i="1"/>
  <c r="P1894" i="1"/>
  <c r="Q1894" i="1"/>
  <c r="A1895" i="1"/>
  <c r="B1895" i="1"/>
  <c r="C1895" i="1"/>
  <c r="E1895" i="1"/>
  <c r="F1895" i="1"/>
  <c r="G1895" i="1"/>
  <c r="H1895" i="1"/>
  <c r="I1895" i="1"/>
  <c r="J1895" i="1"/>
  <c r="K1895" i="1"/>
  <c r="L1895" i="1"/>
  <c r="M1895" i="1"/>
  <c r="N1895" i="1"/>
  <c r="O1895" i="1"/>
  <c r="P1895" i="1"/>
  <c r="Q1895" i="1"/>
  <c r="A1896" i="1"/>
  <c r="B1896" i="1"/>
  <c r="C1896" i="1"/>
  <c r="E1896" i="1"/>
  <c r="F1896" i="1"/>
  <c r="G1896" i="1"/>
  <c r="H1896" i="1"/>
  <c r="I1896" i="1"/>
  <c r="J1896" i="1"/>
  <c r="K1896" i="1"/>
  <c r="L1896" i="1"/>
  <c r="M1896" i="1"/>
  <c r="N1896" i="1"/>
  <c r="O1896" i="1"/>
  <c r="P1896" i="1"/>
  <c r="Q1896" i="1"/>
  <c r="A1897" i="1"/>
  <c r="B1897" i="1"/>
  <c r="C1897" i="1"/>
  <c r="D1897" i="1"/>
  <c r="E1897" i="1"/>
  <c r="F1897" i="1"/>
  <c r="G1897" i="1"/>
  <c r="H1897" i="1"/>
  <c r="I1897" i="1"/>
  <c r="J1897" i="1"/>
  <c r="K1897" i="1"/>
  <c r="L1897" i="1"/>
  <c r="M1897" i="1"/>
  <c r="N1897" i="1"/>
  <c r="O1897" i="1"/>
  <c r="P1897" i="1"/>
  <c r="Q1897" i="1"/>
  <c r="A1898" i="1"/>
  <c r="B1898" i="1"/>
  <c r="C1898" i="1"/>
  <c r="D1898" i="1"/>
  <c r="E1898" i="1"/>
  <c r="F1898" i="1"/>
  <c r="G1898" i="1"/>
  <c r="H1898" i="1"/>
  <c r="I1898" i="1"/>
  <c r="J1898" i="1"/>
  <c r="K1898" i="1"/>
  <c r="L1898" i="1"/>
  <c r="M1898" i="1"/>
  <c r="N1898" i="1"/>
  <c r="O1898" i="1"/>
  <c r="P1898" i="1"/>
  <c r="Q1898" i="1"/>
  <c r="A1899" i="1"/>
  <c r="B1899" i="1"/>
  <c r="C1899" i="1"/>
  <c r="D1899" i="1"/>
  <c r="E1899" i="1"/>
  <c r="F1899" i="1"/>
  <c r="G1899" i="1"/>
  <c r="H1899" i="1"/>
  <c r="I1899" i="1"/>
  <c r="J1899" i="1"/>
  <c r="K1899" i="1"/>
  <c r="L1899" i="1"/>
  <c r="M1899" i="1"/>
  <c r="N1899" i="1"/>
  <c r="O1899" i="1"/>
  <c r="P1899" i="1"/>
  <c r="Q1899" i="1"/>
  <c r="A1900" i="1"/>
  <c r="B1900" i="1"/>
  <c r="C1900" i="1"/>
  <c r="D1900" i="1"/>
  <c r="E1900" i="1"/>
  <c r="F1900" i="1"/>
  <c r="G1900" i="1"/>
  <c r="H1900" i="1"/>
  <c r="I1900" i="1"/>
  <c r="J1900" i="1"/>
  <c r="K1900" i="1"/>
  <c r="L1900" i="1"/>
  <c r="M1900" i="1"/>
  <c r="N1900" i="1"/>
  <c r="O1900" i="1"/>
  <c r="P1900" i="1"/>
  <c r="Q1900" i="1"/>
  <c r="A1901" i="1"/>
  <c r="B1901" i="1"/>
  <c r="C1901" i="1"/>
  <c r="D1901" i="1"/>
  <c r="E1901" i="1"/>
  <c r="F1901" i="1"/>
  <c r="G1901" i="1"/>
  <c r="H1901" i="1"/>
  <c r="I1901" i="1"/>
  <c r="J1901" i="1"/>
  <c r="K1901" i="1"/>
  <c r="L1901" i="1"/>
  <c r="M1901" i="1"/>
  <c r="N1901" i="1"/>
  <c r="O1901" i="1"/>
  <c r="P1901" i="1"/>
  <c r="Q1901" i="1"/>
  <c r="A1902" i="1"/>
  <c r="B1902" i="1"/>
  <c r="C1902" i="1"/>
  <c r="D1902" i="1"/>
  <c r="E1902" i="1"/>
  <c r="F1902" i="1"/>
  <c r="G1902" i="1"/>
  <c r="H1902" i="1"/>
  <c r="I1902" i="1"/>
  <c r="J1902" i="1"/>
  <c r="K1902" i="1"/>
  <c r="L1902" i="1"/>
  <c r="M1902" i="1"/>
  <c r="N1902" i="1"/>
  <c r="O1902" i="1"/>
  <c r="P1902" i="1"/>
  <c r="Q1902" i="1"/>
  <c r="A1903" i="1"/>
  <c r="B1903" i="1"/>
  <c r="C1903" i="1"/>
  <c r="D1903" i="1"/>
  <c r="E1903" i="1"/>
  <c r="F1903" i="1"/>
  <c r="G1903" i="1"/>
  <c r="H1903" i="1"/>
  <c r="I1903" i="1"/>
  <c r="J1903" i="1"/>
  <c r="K1903" i="1"/>
  <c r="L1903" i="1"/>
  <c r="M1903" i="1"/>
  <c r="N1903" i="1"/>
  <c r="O1903" i="1"/>
  <c r="P1903" i="1"/>
  <c r="Q1903" i="1"/>
  <c r="A1904" i="1"/>
  <c r="B1904" i="1"/>
  <c r="C1904" i="1"/>
  <c r="D1904" i="1"/>
  <c r="E1904" i="1"/>
  <c r="F1904" i="1"/>
  <c r="G1904" i="1"/>
  <c r="H1904" i="1"/>
  <c r="I1904" i="1"/>
  <c r="J1904" i="1"/>
  <c r="K1904" i="1"/>
  <c r="L1904" i="1"/>
  <c r="M1904" i="1"/>
  <c r="N1904" i="1"/>
  <c r="O1904" i="1"/>
  <c r="P1904" i="1"/>
  <c r="Q1904" i="1"/>
  <c r="A1905" i="1"/>
  <c r="B1905" i="1"/>
  <c r="C1905" i="1"/>
  <c r="D1905" i="1"/>
  <c r="E1905" i="1"/>
  <c r="F1905" i="1"/>
  <c r="G1905" i="1"/>
  <c r="H1905" i="1"/>
  <c r="I1905" i="1"/>
  <c r="J1905" i="1"/>
  <c r="K1905" i="1"/>
  <c r="L1905" i="1"/>
  <c r="M1905" i="1"/>
  <c r="N1905" i="1"/>
  <c r="O1905" i="1"/>
  <c r="P1905" i="1"/>
  <c r="Q1905" i="1"/>
  <c r="A1906" i="1"/>
  <c r="B1906" i="1"/>
  <c r="C1906" i="1"/>
  <c r="E1906" i="1"/>
  <c r="F1906" i="1"/>
  <c r="G1906" i="1"/>
  <c r="H1906" i="1"/>
  <c r="I1906" i="1"/>
  <c r="J1906" i="1"/>
  <c r="K1906" i="1"/>
  <c r="L1906" i="1"/>
  <c r="M1906" i="1"/>
  <c r="N1906" i="1"/>
  <c r="O1906" i="1"/>
  <c r="P1906" i="1"/>
  <c r="Q1906" i="1"/>
  <c r="A1907" i="1"/>
  <c r="B1907" i="1"/>
  <c r="C1907" i="1"/>
  <c r="D1907" i="1"/>
  <c r="E1907" i="1"/>
  <c r="F1907" i="1"/>
  <c r="G1907" i="1"/>
  <c r="H1907" i="1"/>
  <c r="I1907" i="1"/>
  <c r="J1907" i="1"/>
  <c r="K1907" i="1"/>
  <c r="L1907" i="1"/>
  <c r="M1907" i="1"/>
  <c r="N1907" i="1"/>
  <c r="O1907" i="1"/>
  <c r="P1907" i="1"/>
  <c r="Q1907" i="1"/>
  <c r="A1908" i="1"/>
  <c r="B1908" i="1"/>
  <c r="C1908" i="1"/>
  <c r="E1908" i="1"/>
  <c r="F1908" i="1"/>
  <c r="G1908" i="1"/>
  <c r="H1908" i="1"/>
  <c r="I1908" i="1"/>
  <c r="J1908" i="1"/>
  <c r="K1908" i="1"/>
  <c r="L1908" i="1"/>
  <c r="M1908" i="1"/>
  <c r="N1908" i="1"/>
  <c r="O1908" i="1"/>
  <c r="P1908" i="1"/>
  <c r="Q1908" i="1"/>
  <c r="A1909" i="1"/>
  <c r="B1909" i="1"/>
  <c r="D1909" i="1"/>
  <c r="E1909" i="1"/>
  <c r="F1909" i="1"/>
  <c r="G1909" i="1"/>
  <c r="H1909" i="1"/>
  <c r="I1909" i="1"/>
  <c r="J1909" i="1"/>
  <c r="K1909" i="1"/>
  <c r="L1909" i="1"/>
  <c r="M1909" i="1"/>
  <c r="N1909" i="1"/>
  <c r="O1909" i="1"/>
  <c r="P1909" i="1"/>
  <c r="Q1909" i="1"/>
  <c r="A1910" i="1"/>
  <c r="B1910" i="1"/>
  <c r="D1910" i="1"/>
  <c r="E1910" i="1"/>
  <c r="F1910" i="1"/>
  <c r="G1910" i="1"/>
  <c r="H1910" i="1"/>
  <c r="I1910" i="1"/>
  <c r="J1910" i="1"/>
  <c r="K1910" i="1"/>
  <c r="L1910" i="1"/>
  <c r="M1910" i="1"/>
  <c r="N1910" i="1"/>
  <c r="O1910" i="1"/>
  <c r="P1910" i="1"/>
  <c r="Q1910" i="1"/>
  <c r="A1911" i="1"/>
  <c r="B1911" i="1"/>
  <c r="C1911" i="1"/>
  <c r="D1911" i="1"/>
  <c r="E1911" i="1"/>
  <c r="F1911" i="1"/>
  <c r="G1911" i="1"/>
  <c r="H1911" i="1"/>
  <c r="I1911" i="1"/>
  <c r="J1911" i="1"/>
  <c r="K1911" i="1"/>
  <c r="L1911" i="1"/>
  <c r="M1911" i="1"/>
  <c r="N1911" i="1"/>
  <c r="O1911" i="1"/>
  <c r="P1911" i="1"/>
  <c r="Q1911" i="1"/>
  <c r="A1912" i="1"/>
  <c r="B1912" i="1"/>
  <c r="C1912" i="1"/>
  <c r="D1912" i="1"/>
  <c r="E1912" i="1"/>
  <c r="F1912" i="1"/>
  <c r="G1912" i="1"/>
  <c r="H1912" i="1"/>
  <c r="I1912" i="1"/>
  <c r="J1912" i="1"/>
  <c r="K1912" i="1"/>
  <c r="L1912" i="1"/>
  <c r="M1912" i="1"/>
  <c r="N1912" i="1"/>
  <c r="O1912" i="1"/>
  <c r="P1912" i="1"/>
  <c r="Q1912" i="1"/>
  <c r="A1913" i="1"/>
  <c r="B1913" i="1"/>
  <c r="C1913" i="1"/>
  <c r="D1913" i="1"/>
  <c r="E1913" i="1"/>
  <c r="F1913" i="1"/>
  <c r="G1913" i="1"/>
  <c r="H1913" i="1"/>
  <c r="I1913" i="1"/>
  <c r="J1913" i="1"/>
  <c r="K1913" i="1"/>
  <c r="L1913" i="1"/>
  <c r="M1913" i="1"/>
  <c r="N1913" i="1"/>
  <c r="O1913" i="1"/>
  <c r="P1913" i="1"/>
  <c r="Q1913" i="1"/>
  <c r="A1914" i="1"/>
  <c r="B1914" i="1"/>
  <c r="C1914" i="1"/>
  <c r="D1914" i="1"/>
  <c r="E1914" i="1"/>
  <c r="F1914" i="1"/>
  <c r="G1914" i="1"/>
  <c r="H1914" i="1"/>
  <c r="I1914" i="1"/>
  <c r="J1914" i="1"/>
  <c r="K1914" i="1"/>
  <c r="L1914" i="1"/>
  <c r="M1914" i="1"/>
  <c r="N1914" i="1"/>
  <c r="O1914" i="1"/>
  <c r="P1914" i="1"/>
  <c r="Q1914" i="1"/>
  <c r="A1915" i="1"/>
  <c r="B1915" i="1"/>
  <c r="C1915" i="1"/>
  <c r="D1915" i="1"/>
  <c r="E1915" i="1"/>
  <c r="F1915" i="1"/>
  <c r="G1915" i="1"/>
  <c r="H1915" i="1"/>
  <c r="I1915" i="1"/>
  <c r="J1915" i="1"/>
  <c r="K1915" i="1"/>
  <c r="L1915" i="1"/>
  <c r="M1915" i="1"/>
  <c r="N1915" i="1"/>
  <c r="O1915" i="1"/>
  <c r="P1915" i="1"/>
  <c r="Q1915" i="1"/>
  <c r="A1916" i="1"/>
  <c r="B1916" i="1"/>
  <c r="C1916" i="1"/>
  <c r="E1916" i="1"/>
  <c r="F1916" i="1"/>
  <c r="G1916" i="1"/>
  <c r="H1916" i="1"/>
  <c r="I1916" i="1"/>
  <c r="J1916" i="1"/>
  <c r="K1916" i="1"/>
  <c r="L1916" i="1"/>
  <c r="M1916" i="1"/>
  <c r="N1916" i="1"/>
  <c r="O1916" i="1"/>
  <c r="P1916" i="1"/>
  <c r="Q1916" i="1"/>
  <c r="A1917" i="1"/>
  <c r="B1917" i="1"/>
  <c r="C1917" i="1"/>
  <c r="D1917" i="1"/>
  <c r="E1917" i="1"/>
  <c r="F1917" i="1"/>
  <c r="G1917" i="1"/>
  <c r="H1917" i="1"/>
  <c r="I1917" i="1"/>
  <c r="J1917" i="1"/>
  <c r="K1917" i="1"/>
  <c r="L1917" i="1"/>
  <c r="M1917" i="1"/>
  <c r="N1917" i="1"/>
  <c r="O1917" i="1"/>
  <c r="P1917" i="1"/>
  <c r="Q1917" i="1"/>
  <c r="A1918" i="1"/>
  <c r="B1918" i="1"/>
  <c r="C1918" i="1"/>
  <c r="D1918" i="1"/>
  <c r="E1918" i="1"/>
  <c r="F1918" i="1"/>
  <c r="G1918" i="1"/>
  <c r="H1918" i="1"/>
  <c r="I1918" i="1"/>
  <c r="J1918" i="1"/>
  <c r="K1918" i="1"/>
  <c r="L1918" i="1"/>
  <c r="M1918" i="1"/>
  <c r="N1918" i="1"/>
  <c r="O1918" i="1"/>
  <c r="P1918" i="1"/>
  <c r="Q1918" i="1"/>
  <c r="A1919" i="1"/>
  <c r="B1919" i="1"/>
  <c r="C1919" i="1"/>
  <c r="D1919" i="1"/>
  <c r="E1919" i="1"/>
  <c r="F1919" i="1"/>
  <c r="G1919" i="1"/>
  <c r="H1919" i="1"/>
  <c r="I1919" i="1"/>
  <c r="J1919" i="1"/>
  <c r="K1919" i="1"/>
  <c r="L1919" i="1"/>
  <c r="M1919" i="1"/>
  <c r="N1919" i="1"/>
  <c r="O1919" i="1"/>
  <c r="P1919" i="1"/>
  <c r="Q1919" i="1"/>
  <c r="A1920" i="1"/>
  <c r="B1920" i="1"/>
  <c r="C1920" i="1"/>
  <c r="D1920" i="1"/>
  <c r="E1920" i="1"/>
  <c r="F1920" i="1"/>
  <c r="G1920" i="1"/>
  <c r="H1920" i="1"/>
  <c r="I1920" i="1"/>
  <c r="J1920" i="1"/>
  <c r="K1920" i="1"/>
  <c r="L1920" i="1"/>
  <c r="M1920" i="1"/>
  <c r="N1920" i="1"/>
  <c r="O1920" i="1"/>
  <c r="P1920" i="1"/>
  <c r="Q1920" i="1"/>
  <c r="A1921" i="1"/>
  <c r="B1921" i="1"/>
  <c r="C1921" i="1"/>
  <c r="D1921" i="1"/>
  <c r="E1921" i="1"/>
  <c r="F1921" i="1"/>
  <c r="G1921" i="1"/>
  <c r="H1921" i="1"/>
  <c r="I1921" i="1"/>
  <c r="J1921" i="1"/>
  <c r="K1921" i="1"/>
  <c r="L1921" i="1"/>
  <c r="M1921" i="1"/>
  <c r="N1921" i="1"/>
  <c r="O1921" i="1"/>
  <c r="P1921" i="1"/>
  <c r="Q1921" i="1"/>
  <c r="A1922" i="1"/>
  <c r="B1922" i="1"/>
  <c r="C1922" i="1"/>
  <c r="D1922" i="1"/>
  <c r="E1922" i="1"/>
  <c r="F1922" i="1"/>
  <c r="G1922" i="1"/>
  <c r="H1922" i="1"/>
  <c r="I1922" i="1"/>
  <c r="J1922" i="1"/>
  <c r="K1922" i="1"/>
  <c r="L1922" i="1"/>
  <c r="M1922" i="1"/>
  <c r="N1922" i="1"/>
  <c r="O1922" i="1"/>
  <c r="P1922" i="1"/>
  <c r="Q1922" i="1"/>
  <c r="A1923" i="1"/>
  <c r="B1923" i="1"/>
  <c r="C1923" i="1"/>
  <c r="D1923" i="1"/>
  <c r="E1923" i="1"/>
  <c r="F1923" i="1"/>
  <c r="G1923" i="1"/>
  <c r="H1923" i="1"/>
  <c r="I1923" i="1"/>
  <c r="J1923" i="1"/>
  <c r="K1923" i="1"/>
  <c r="L1923" i="1"/>
  <c r="M1923" i="1"/>
  <c r="N1923" i="1"/>
  <c r="O1923" i="1"/>
  <c r="P1923" i="1"/>
  <c r="Q1923" i="1"/>
  <c r="A1924" i="1"/>
  <c r="B1924" i="1"/>
  <c r="C1924" i="1"/>
  <c r="D1924" i="1"/>
  <c r="E1924" i="1"/>
  <c r="F1924" i="1"/>
  <c r="G1924" i="1"/>
  <c r="H1924" i="1"/>
  <c r="I1924" i="1"/>
  <c r="J1924" i="1"/>
  <c r="K1924" i="1"/>
  <c r="L1924" i="1"/>
  <c r="M1924" i="1"/>
  <c r="N1924" i="1"/>
  <c r="O1924" i="1"/>
  <c r="P1924" i="1"/>
  <c r="Q1924" i="1"/>
  <c r="A1925" i="1"/>
  <c r="B1925" i="1"/>
  <c r="C1925" i="1"/>
  <c r="D1925" i="1"/>
  <c r="E1925" i="1"/>
  <c r="F1925" i="1"/>
  <c r="G1925" i="1"/>
  <c r="H1925" i="1"/>
  <c r="I1925" i="1"/>
  <c r="J1925" i="1"/>
  <c r="K1925" i="1"/>
  <c r="L1925" i="1"/>
  <c r="M1925" i="1"/>
  <c r="N1925" i="1"/>
  <c r="O1925" i="1"/>
  <c r="P1925" i="1"/>
  <c r="Q1925" i="1"/>
  <c r="A1926" i="1"/>
  <c r="B1926" i="1"/>
  <c r="C1926" i="1"/>
  <c r="D1926" i="1"/>
  <c r="E1926" i="1"/>
  <c r="F1926" i="1"/>
  <c r="G1926" i="1"/>
  <c r="H1926" i="1"/>
  <c r="I1926" i="1"/>
  <c r="J1926" i="1"/>
  <c r="K1926" i="1"/>
  <c r="L1926" i="1"/>
  <c r="M1926" i="1"/>
  <c r="N1926" i="1"/>
  <c r="O1926" i="1"/>
  <c r="P1926" i="1"/>
  <c r="Q1926" i="1"/>
  <c r="A1927" i="1"/>
  <c r="B1927" i="1"/>
  <c r="C1927" i="1"/>
  <c r="D1927" i="1"/>
  <c r="E1927" i="1"/>
  <c r="F1927" i="1"/>
  <c r="G1927" i="1"/>
  <c r="H1927" i="1"/>
  <c r="I1927" i="1"/>
  <c r="J1927" i="1"/>
  <c r="K1927" i="1"/>
  <c r="L1927" i="1"/>
  <c r="M1927" i="1"/>
  <c r="N1927" i="1"/>
  <c r="O1927" i="1"/>
  <c r="P1927" i="1"/>
  <c r="Q1927" i="1"/>
  <c r="A1928" i="1"/>
  <c r="B1928" i="1"/>
  <c r="C1928" i="1"/>
  <c r="D1928" i="1"/>
  <c r="E1928" i="1"/>
  <c r="F1928" i="1"/>
  <c r="G1928" i="1"/>
  <c r="H1928" i="1"/>
  <c r="I1928" i="1"/>
  <c r="J1928" i="1"/>
  <c r="K1928" i="1"/>
  <c r="L1928" i="1"/>
  <c r="M1928" i="1"/>
  <c r="N1928" i="1"/>
  <c r="O1928" i="1"/>
  <c r="P1928" i="1"/>
  <c r="Q1928" i="1"/>
  <c r="A1929" i="1"/>
  <c r="B1929" i="1"/>
  <c r="C1929" i="1"/>
  <c r="D1929" i="1"/>
  <c r="E1929" i="1"/>
  <c r="F1929" i="1"/>
  <c r="G1929" i="1"/>
  <c r="H1929" i="1"/>
  <c r="I1929" i="1"/>
  <c r="J1929" i="1"/>
  <c r="K1929" i="1"/>
  <c r="L1929" i="1"/>
  <c r="M1929" i="1"/>
  <c r="N1929" i="1"/>
  <c r="O1929" i="1"/>
  <c r="P1929" i="1"/>
  <c r="Q1929" i="1"/>
  <c r="A1930" i="1"/>
  <c r="B1930" i="1"/>
  <c r="C1930" i="1"/>
  <c r="E1930" i="1"/>
  <c r="F1930" i="1"/>
  <c r="G1930" i="1"/>
  <c r="H1930" i="1"/>
  <c r="I1930" i="1"/>
  <c r="J1930" i="1"/>
  <c r="K1930" i="1"/>
  <c r="L1930" i="1"/>
  <c r="M1930" i="1"/>
  <c r="N1930" i="1"/>
  <c r="O1930" i="1"/>
  <c r="P1930" i="1"/>
  <c r="Q1930" i="1"/>
  <c r="A1931" i="1"/>
  <c r="B1931" i="1"/>
  <c r="C1931" i="1"/>
  <c r="E1931" i="1"/>
  <c r="F1931" i="1"/>
  <c r="G1931" i="1"/>
  <c r="H1931" i="1"/>
  <c r="I1931" i="1"/>
  <c r="J1931" i="1"/>
  <c r="K1931" i="1"/>
  <c r="L1931" i="1"/>
  <c r="M1931" i="1"/>
  <c r="N1931" i="1"/>
  <c r="O1931" i="1"/>
  <c r="P1931" i="1"/>
  <c r="Q1931" i="1"/>
  <c r="A1932" i="1"/>
  <c r="B1932" i="1"/>
  <c r="C1932" i="1"/>
  <c r="D1932" i="1"/>
  <c r="E1932" i="1"/>
  <c r="F1932" i="1"/>
  <c r="G1932" i="1"/>
  <c r="H1932" i="1"/>
  <c r="I1932" i="1"/>
  <c r="J1932" i="1"/>
  <c r="K1932" i="1"/>
  <c r="L1932" i="1"/>
  <c r="M1932" i="1"/>
  <c r="N1932" i="1"/>
  <c r="O1932" i="1"/>
  <c r="P1932" i="1"/>
  <c r="Q1932" i="1"/>
  <c r="A1933" i="1"/>
  <c r="B1933" i="1"/>
  <c r="C1933" i="1"/>
  <c r="D1933" i="1"/>
  <c r="E1933" i="1"/>
  <c r="F1933" i="1"/>
  <c r="G1933" i="1"/>
  <c r="H1933" i="1"/>
  <c r="I1933" i="1"/>
  <c r="J1933" i="1"/>
  <c r="K1933" i="1"/>
  <c r="L1933" i="1"/>
  <c r="M1933" i="1"/>
  <c r="N1933" i="1"/>
  <c r="O1933" i="1"/>
  <c r="P1933" i="1"/>
  <c r="Q1933" i="1"/>
  <c r="A1934" i="1"/>
  <c r="B1934" i="1"/>
  <c r="C1934" i="1"/>
  <c r="E1934" i="1"/>
  <c r="F1934" i="1"/>
  <c r="G1934" i="1"/>
  <c r="H1934" i="1"/>
  <c r="I1934" i="1"/>
  <c r="J1934" i="1"/>
  <c r="K1934" i="1"/>
  <c r="L1934" i="1"/>
  <c r="M1934" i="1"/>
  <c r="N1934" i="1"/>
  <c r="O1934" i="1"/>
  <c r="P1934" i="1"/>
  <c r="Q1934" i="1"/>
  <c r="A1935" i="1"/>
  <c r="B1935" i="1"/>
  <c r="C1935" i="1"/>
  <c r="D1935" i="1"/>
  <c r="E1935" i="1"/>
  <c r="F1935" i="1"/>
  <c r="G1935" i="1"/>
  <c r="H1935" i="1"/>
  <c r="I1935" i="1"/>
  <c r="J1935" i="1"/>
  <c r="K1935" i="1"/>
  <c r="L1935" i="1"/>
  <c r="M1935" i="1"/>
  <c r="N1935" i="1"/>
  <c r="O1935" i="1"/>
  <c r="P1935" i="1"/>
  <c r="Q1935" i="1"/>
  <c r="A1936" i="1"/>
  <c r="B1936" i="1"/>
  <c r="C1936" i="1"/>
  <c r="D1936" i="1"/>
  <c r="E1936" i="1"/>
  <c r="F1936" i="1"/>
  <c r="G1936" i="1"/>
  <c r="H1936" i="1"/>
  <c r="I1936" i="1"/>
  <c r="J1936" i="1"/>
  <c r="K1936" i="1"/>
  <c r="L1936" i="1"/>
  <c r="M1936" i="1"/>
  <c r="N1936" i="1"/>
  <c r="O1936" i="1"/>
  <c r="P1936" i="1"/>
  <c r="Q1936" i="1"/>
  <c r="A1937" i="1"/>
  <c r="B1937" i="1"/>
  <c r="C1937" i="1"/>
  <c r="E1937" i="1"/>
  <c r="F1937" i="1"/>
  <c r="G1937" i="1"/>
  <c r="H1937" i="1"/>
  <c r="I1937" i="1"/>
  <c r="J1937" i="1"/>
  <c r="K1937" i="1"/>
  <c r="L1937" i="1"/>
  <c r="M1937" i="1"/>
  <c r="N1937" i="1"/>
  <c r="O1937" i="1"/>
  <c r="P1937" i="1"/>
  <c r="Q1937" i="1"/>
  <c r="A1938" i="1"/>
  <c r="B1938" i="1"/>
  <c r="C1938" i="1"/>
  <c r="D1938" i="1"/>
  <c r="E1938" i="1"/>
  <c r="F1938" i="1"/>
  <c r="G1938" i="1"/>
  <c r="H1938" i="1"/>
  <c r="I1938" i="1"/>
  <c r="J1938" i="1"/>
  <c r="K1938" i="1"/>
  <c r="L1938" i="1"/>
  <c r="M1938" i="1"/>
  <c r="N1938" i="1"/>
  <c r="O1938" i="1"/>
  <c r="P1938" i="1"/>
  <c r="Q1938" i="1"/>
  <c r="A1939" i="1"/>
  <c r="B1939" i="1"/>
  <c r="C1939" i="1"/>
  <c r="D1939" i="1"/>
  <c r="E1939" i="1"/>
  <c r="F1939" i="1"/>
  <c r="G1939" i="1"/>
  <c r="H1939" i="1"/>
  <c r="I1939" i="1"/>
  <c r="J1939" i="1"/>
  <c r="K1939" i="1"/>
  <c r="L1939" i="1"/>
  <c r="M1939" i="1"/>
  <c r="N1939" i="1"/>
  <c r="O1939" i="1"/>
  <c r="P1939" i="1"/>
  <c r="Q1939" i="1"/>
  <c r="A1940" i="1"/>
  <c r="B1940" i="1"/>
  <c r="C1940" i="1"/>
  <c r="E1940" i="1"/>
  <c r="F1940" i="1"/>
  <c r="G1940" i="1"/>
  <c r="H1940" i="1"/>
  <c r="I1940" i="1"/>
  <c r="J1940" i="1"/>
  <c r="K1940" i="1"/>
  <c r="L1940" i="1"/>
  <c r="M1940" i="1"/>
  <c r="N1940" i="1"/>
  <c r="O1940" i="1"/>
  <c r="P1940" i="1"/>
  <c r="Q1940" i="1"/>
  <c r="A1941" i="1"/>
  <c r="B1941" i="1"/>
  <c r="C1941" i="1"/>
  <c r="E1941" i="1"/>
  <c r="F1941" i="1"/>
  <c r="G1941" i="1"/>
  <c r="H1941" i="1"/>
  <c r="I1941" i="1"/>
  <c r="J1941" i="1"/>
  <c r="K1941" i="1"/>
  <c r="L1941" i="1"/>
  <c r="M1941" i="1"/>
  <c r="N1941" i="1"/>
  <c r="O1941" i="1"/>
  <c r="P1941" i="1"/>
  <c r="Q1941" i="1"/>
  <c r="A1942" i="1"/>
  <c r="B1942" i="1"/>
  <c r="C1942" i="1"/>
  <c r="E1942" i="1"/>
  <c r="F1942" i="1"/>
  <c r="G1942" i="1"/>
  <c r="H1942" i="1"/>
  <c r="I1942" i="1"/>
  <c r="J1942" i="1"/>
  <c r="K1942" i="1"/>
  <c r="L1942" i="1"/>
  <c r="M1942" i="1"/>
  <c r="N1942" i="1"/>
  <c r="O1942" i="1"/>
  <c r="P1942" i="1"/>
  <c r="Q1942" i="1"/>
  <c r="A1943" i="1"/>
  <c r="B1943" i="1"/>
  <c r="C1943" i="1"/>
  <c r="E1943" i="1"/>
  <c r="F1943" i="1"/>
  <c r="G1943" i="1"/>
  <c r="H1943" i="1"/>
  <c r="I1943" i="1"/>
  <c r="J1943" i="1"/>
  <c r="K1943" i="1"/>
  <c r="L1943" i="1"/>
  <c r="M1943" i="1"/>
  <c r="N1943" i="1"/>
  <c r="O1943" i="1"/>
  <c r="P1943" i="1"/>
  <c r="Q1943" i="1"/>
  <c r="A1944" i="1"/>
  <c r="B1944" i="1"/>
  <c r="C1944" i="1"/>
  <c r="D1944" i="1"/>
  <c r="E1944" i="1"/>
  <c r="F1944" i="1"/>
  <c r="G1944" i="1"/>
  <c r="H1944" i="1"/>
  <c r="I1944" i="1"/>
  <c r="J1944" i="1"/>
  <c r="K1944" i="1"/>
  <c r="L1944" i="1"/>
  <c r="M1944" i="1"/>
  <c r="N1944" i="1"/>
  <c r="O1944" i="1"/>
  <c r="P1944" i="1"/>
  <c r="Q1944" i="1"/>
  <c r="A1945" i="1"/>
  <c r="B1945" i="1"/>
  <c r="C1945" i="1"/>
  <c r="D1945" i="1"/>
  <c r="E1945" i="1"/>
  <c r="F1945" i="1"/>
  <c r="G1945" i="1"/>
  <c r="H1945" i="1"/>
  <c r="I1945" i="1"/>
  <c r="J1945" i="1"/>
  <c r="K1945" i="1"/>
  <c r="L1945" i="1"/>
  <c r="M1945" i="1"/>
  <c r="N1945" i="1"/>
  <c r="O1945" i="1"/>
  <c r="P1945" i="1"/>
  <c r="Q1945" i="1"/>
  <c r="A1946" i="1"/>
  <c r="B1946" i="1"/>
  <c r="C1946" i="1"/>
  <c r="D1946" i="1"/>
  <c r="E1946" i="1"/>
  <c r="F1946" i="1"/>
  <c r="G1946" i="1"/>
  <c r="H1946" i="1"/>
  <c r="I1946" i="1"/>
  <c r="J1946" i="1"/>
  <c r="K1946" i="1"/>
  <c r="L1946" i="1"/>
  <c r="M1946" i="1"/>
  <c r="N1946" i="1"/>
  <c r="O1946" i="1"/>
  <c r="P1946" i="1"/>
  <c r="Q1946" i="1"/>
  <c r="A1947" i="1"/>
  <c r="B1947" i="1"/>
  <c r="C1947" i="1"/>
  <c r="D1947" i="1"/>
  <c r="E1947" i="1"/>
  <c r="F1947" i="1"/>
  <c r="G1947" i="1"/>
  <c r="H1947" i="1"/>
  <c r="I1947" i="1"/>
  <c r="J1947" i="1"/>
  <c r="K1947" i="1"/>
  <c r="L1947" i="1"/>
  <c r="M1947" i="1"/>
  <c r="N1947" i="1"/>
  <c r="O1947" i="1"/>
  <c r="P1947" i="1"/>
  <c r="Q1947" i="1"/>
  <c r="A1948" i="1"/>
  <c r="B1948" i="1"/>
  <c r="C1948" i="1"/>
  <c r="E1948" i="1"/>
  <c r="F1948" i="1"/>
  <c r="G1948" i="1"/>
  <c r="H1948" i="1"/>
  <c r="I1948" i="1"/>
  <c r="J1948" i="1"/>
  <c r="K1948" i="1"/>
  <c r="L1948" i="1"/>
  <c r="M1948" i="1"/>
  <c r="N1948" i="1"/>
  <c r="O1948" i="1"/>
  <c r="P1948" i="1"/>
  <c r="Q1948" i="1"/>
  <c r="A1949" i="1"/>
  <c r="B1949" i="1"/>
  <c r="C1949" i="1"/>
  <c r="D1949" i="1"/>
  <c r="E1949" i="1"/>
  <c r="F1949" i="1"/>
  <c r="G1949" i="1"/>
  <c r="H1949" i="1"/>
  <c r="I1949" i="1"/>
  <c r="J1949" i="1"/>
  <c r="K1949" i="1"/>
  <c r="L1949" i="1"/>
  <c r="M1949" i="1"/>
  <c r="N1949" i="1"/>
  <c r="O1949" i="1"/>
  <c r="P1949" i="1"/>
  <c r="Q1949" i="1"/>
  <c r="A1950" i="1"/>
  <c r="B1950" i="1"/>
  <c r="C1950" i="1"/>
  <c r="D1950" i="1"/>
  <c r="E1950" i="1"/>
  <c r="F1950" i="1"/>
  <c r="G1950" i="1"/>
  <c r="H1950" i="1"/>
  <c r="I1950" i="1"/>
  <c r="J1950" i="1"/>
  <c r="K1950" i="1"/>
  <c r="L1950" i="1"/>
  <c r="M1950" i="1"/>
  <c r="N1950" i="1"/>
  <c r="O1950" i="1"/>
  <c r="P1950" i="1"/>
  <c r="Q1950" i="1"/>
  <c r="A1951" i="1"/>
  <c r="B1951" i="1"/>
  <c r="C1951" i="1"/>
  <c r="D1951" i="1"/>
  <c r="E1951" i="1"/>
  <c r="F1951" i="1"/>
  <c r="G1951" i="1"/>
  <c r="H1951" i="1"/>
  <c r="I1951" i="1"/>
  <c r="J1951" i="1"/>
  <c r="K1951" i="1"/>
  <c r="L1951" i="1"/>
  <c r="M1951" i="1"/>
  <c r="N1951" i="1"/>
  <c r="O1951" i="1"/>
  <c r="P1951" i="1"/>
  <c r="Q1951" i="1"/>
  <c r="A1952" i="1"/>
  <c r="B1952" i="1"/>
  <c r="C1952" i="1"/>
  <c r="D1952" i="1"/>
  <c r="E1952" i="1"/>
  <c r="F1952" i="1"/>
  <c r="G1952" i="1"/>
  <c r="H1952" i="1"/>
  <c r="I1952" i="1"/>
  <c r="J1952" i="1"/>
  <c r="K1952" i="1"/>
  <c r="L1952" i="1"/>
  <c r="M1952" i="1"/>
  <c r="N1952" i="1"/>
  <c r="O1952" i="1"/>
  <c r="P1952" i="1"/>
  <c r="Q1952" i="1"/>
  <c r="A1953" i="1"/>
  <c r="B1953" i="1"/>
  <c r="C1953" i="1"/>
  <c r="D1953" i="1"/>
  <c r="E1953" i="1"/>
  <c r="F1953" i="1"/>
  <c r="G1953" i="1"/>
  <c r="H1953" i="1"/>
  <c r="I1953" i="1"/>
  <c r="J1953" i="1"/>
  <c r="K1953" i="1"/>
  <c r="L1953" i="1"/>
  <c r="M1953" i="1"/>
  <c r="N1953" i="1"/>
  <c r="O1953" i="1"/>
  <c r="P1953" i="1"/>
  <c r="Q1953" i="1"/>
  <c r="A1954" i="1"/>
  <c r="B1954" i="1"/>
  <c r="C1954" i="1"/>
  <c r="D1954" i="1"/>
  <c r="E1954" i="1"/>
  <c r="F1954" i="1"/>
  <c r="G1954" i="1"/>
  <c r="H1954" i="1"/>
  <c r="I1954" i="1"/>
  <c r="J1954" i="1"/>
  <c r="K1954" i="1"/>
  <c r="L1954" i="1"/>
  <c r="M1954" i="1"/>
  <c r="N1954" i="1"/>
  <c r="O1954" i="1"/>
  <c r="P1954" i="1"/>
  <c r="Q1954" i="1"/>
  <c r="A1955" i="1"/>
  <c r="B1955" i="1"/>
  <c r="C1955" i="1"/>
  <c r="D1955" i="1"/>
  <c r="E1955" i="1"/>
  <c r="F1955" i="1"/>
  <c r="G1955" i="1"/>
  <c r="H1955" i="1"/>
  <c r="I1955" i="1"/>
  <c r="J1955" i="1"/>
  <c r="K1955" i="1"/>
  <c r="L1955" i="1"/>
  <c r="M1955" i="1"/>
  <c r="N1955" i="1"/>
  <c r="O1955" i="1"/>
  <c r="P1955" i="1"/>
  <c r="Q1955" i="1"/>
  <c r="A1956" i="1"/>
  <c r="B1956" i="1"/>
  <c r="C1956" i="1"/>
  <c r="D1956" i="1"/>
  <c r="E1956" i="1"/>
  <c r="F1956" i="1"/>
  <c r="G1956" i="1"/>
  <c r="H1956" i="1"/>
  <c r="I1956" i="1"/>
  <c r="J1956" i="1"/>
  <c r="K1956" i="1"/>
  <c r="L1956" i="1"/>
  <c r="M1956" i="1"/>
  <c r="N1956" i="1"/>
  <c r="O1956" i="1"/>
  <c r="P1956" i="1"/>
  <c r="Q1956" i="1"/>
  <c r="A1957" i="1"/>
  <c r="B1957" i="1"/>
  <c r="C1957" i="1"/>
  <c r="D1957" i="1"/>
  <c r="E1957" i="1"/>
  <c r="F1957" i="1"/>
  <c r="G1957" i="1"/>
  <c r="H1957" i="1"/>
  <c r="I1957" i="1"/>
  <c r="J1957" i="1"/>
  <c r="K1957" i="1"/>
  <c r="L1957" i="1"/>
  <c r="M1957" i="1"/>
  <c r="N1957" i="1"/>
  <c r="O1957" i="1"/>
  <c r="P1957" i="1"/>
  <c r="Q1957" i="1"/>
  <c r="A1958" i="1"/>
  <c r="B1958" i="1"/>
  <c r="C1958" i="1"/>
  <c r="D1958" i="1"/>
  <c r="E1958" i="1"/>
  <c r="F1958" i="1"/>
  <c r="G1958" i="1"/>
  <c r="H1958" i="1"/>
  <c r="I1958" i="1"/>
  <c r="J1958" i="1"/>
  <c r="K1958" i="1"/>
  <c r="L1958" i="1"/>
  <c r="M1958" i="1"/>
  <c r="N1958" i="1"/>
  <c r="O1958" i="1"/>
  <c r="P1958" i="1"/>
  <c r="Q1958" i="1"/>
  <c r="A1959" i="1"/>
  <c r="B1959" i="1"/>
  <c r="C1959" i="1"/>
  <c r="D1959" i="1"/>
  <c r="E1959" i="1"/>
  <c r="F1959" i="1"/>
  <c r="G1959" i="1"/>
  <c r="H1959" i="1"/>
  <c r="I1959" i="1"/>
  <c r="J1959" i="1"/>
  <c r="K1959" i="1"/>
  <c r="L1959" i="1"/>
  <c r="M1959" i="1"/>
  <c r="N1959" i="1"/>
  <c r="O1959" i="1"/>
  <c r="P1959" i="1"/>
  <c r="Q1959" i="1"/>
  <c r="A1960" i="1"/>
  <c r="B1960" i="1"/>
  <c r="C1960" i="1"/>
  <c r="E1960" i="1"/>
  <c r="F1960" i="1"/>
  <c r="G1960" i="1"/>
  <c r="H1960" i="1"/>
  <c r="I1960" i="1"/>
  <c r="J1960" i="1"/>
  <c r="K1960" i="1"/>
  <c r="L1960" i="1"/>
  <c r="M1960" i="1"/>
  <c r="N1960" i="1"/>
  <c r="O1960" i="1"/>
  <c r="P1960" i="1"/>
  <c r="Q1960" i="1"/>
  <c r="A1961" i="1"/>
  <c r="B1961" i="1"/>
  <c r="C1961" i="1"/>
  <c r="D1961" i="1"/>
  <c r="E1961" i="1"/>
  <c r="F1961" i="1"/>
  <c r="G1961" i="1"/>
  <c r="H1961" i="1"/>
  <c r="I1961" i="1"/>
  <c r="J1961" i="1"/>
  <c r="K1961" i="1"/>
  <c r="L1961" i="1"/>
  <c r="M1961" i="1"/>
  <c r="N1961" i="1"/>
  <c r="O1961" i="1"/>
  <c r="P1961" i="1"/>
  <c r="Q1961" i="1"/>
  <c r="A1962" i="1"/>
  <c r="B1962" i="1"/>
  <c r="C1962" i="1"/>
  <c r="D1962" i="1"/>
  <c r="E1962" i="1"/>
  <c r="F1962" i="1"/>
  <c r="G1962" i="1"/>
  <c r="H1962" i="1"/>
  <c r="I1962" i="1"/>
  <c r="J1962" i="1"/>
  <c r="K1962" i="1"/>
  <c r="L1962" i="1"/>
  <c r="M1962" i="1"/>
  <c r="N1962" i="1"/>
  <c r="O1962" i="1"/>
  <c r="P1962" i="1"/>
  <c r="Q1962" i="1"/>
  <c r="A1963" i="1"/>
  <c r="B1963" i="1"/>
  <c r="C1963" i="1"/>
  <c r="D1963" i="1"/>
  <c r="E1963" i="1"/>
  <c r="F1963" i="1"/>
  <c r="G1963" i="1"/>
  <c r="H1963" i="1"/>
  <c r="I1963" i="1"/>
  <c r="J1963" i="1"/>
  <c r="K1963" i="1"/>
  <c r="L1963" i="1"/>
  <c r="M1963" i="1"/>
  <c r="N1963" i="1"/>
  <c r="O1963" i="1"/>
  <c r="P1963" i="1"/>
  <c r="Q1963" i="1"/>
  <c r="A1964" i="1"/>
  <c r="B1964" i="1"/>
  <c r="C1964" i="1"/>
  <c r="E1964" i="1"/>
  <c r="F1964" i="1"/>
  <c r="G1964" i="1"/>
  <c r="H1964" i="1"/>
  <c r="I1964" i="1"/>
  <c r="J1964" i="1"/>
  <c r="K1964" i="1"/>
  <c r="L1964" i="1"/>
  <c r="M1964" i="1"/>
  <c r="N1964" i="1"/>
  <c r="O1964" i="1"/>
  <c r="P1964" i="1"/>
  <c r="Q1964" i="1"/>
  <c r="A1965" i="1"/>
  <c r="B1965" i="1"/>
  <c r="C1965" i="1"/>
  <c r="D1965" i="1"/>
  <c r="E1965" i="1"/>
  <c r="F1965" i="1"/>
  <c r="G1965" i="1"/>
  <c r="H1965" i="1"/>
  <c r="I1965" i="1"/>
  <c r="J1965" i="1"/>
  <c r="K1965" i="1"/>
  <c r="L1965" i="1"/>
  <c r="M1965" i="1"/>
  <c r="N1965" i="1"/>
  <c r="O1965" i="1"/>
  <c r="P1965" i="1"/>
  <c r="Q1965" i="1"/>
  <c r="A1966" i="1"/>
  <c r="B1966" i="1"/>
  <c r="C1966" i="1"/>
  <c r="E1966" i="1"/>
  <c r="F1966" i="1"/>
  <c r="G1966" i="1"/>
  <c r="H1966" i="1"/>
  <c r="I1966" i="1"/>
  <c r="J1966" i="1"/>
  <c r="K1966" i="1"/>
  <c r="L1966" i="1"/>
  <c r="M1966" i="1"/>
  <c r="N1966" i="1"/>
  <c r="O1966" i="1"/>
  <c r="P1966" i="1"/>
  <c r="Q1966" i="1"/>
  <c r="A1967" i="1"/>
  <c r="B1967" i="1"/>
  <c r="C1967" i="1"/>
  <c r="E1967" i="1"/>
  <c r="F1967" i="1"/>
  <c r="G1967" i="1"/>
  <c r="H1967" i="1"/>
  <c r="I1967" i="1"/>
  <c r="J1967" i="1"/>
  <c r="K1967" i="1"/>
  <c r="L1967" i="1"/>
  <c r="M1967" i="1"/>
  <c r="N1967" i="1"/>
  <c r="O1967" i="1"/>
  <c r="P1967" i="1"/>
  <c r="Q1967" i="1"/>
  <c r="A1968" i="1"/>
  <c r="B1968" i="1"/>
  <c r="C1968" i="1"/>
  <c r="E1968" i="1"/>
  <c r="F1968" i="1"/>
  <c r="G1968" i="1"/>
  <c r="H1968" i="1"/>
  <c r="I1968" i="1"/>
  <c r="J1968" i="1"/>
  <c r="K1968" i="1"/>
  <c r="L1968" i="1"/>
  <c r="M1968" i="1"/>
  <c r="N1968" i="1"/>
  <c r="O1968" i="1"/>
  <c r="P1968" i="1"/>
  <c r="Q1968" i="1"/>
  <c r="A1969" i="1"/>
  <c r="B1969" i="1"/>
  <c r="C1969" i="1"/>
  <c r="D1969" i="1"/>
  <c r="E1969" i="1"/>
  <c r="F1969" i="1"/>
  <c r="G1969" i="1"/>
  <c r="H1969" i="1"/>
  <c r="I1969" i="1"/>
  <c r="J1969" i="1"/>
  <c r="K1969" i="1"/>
  <c r="L1969" i="1"/>
  <c r="M1969" i="1"/>
  <c r="N1969" i="1"/>
  <c r="O1969" i="1"/>
  <c r="P1969" i="1"/>
  <c r="Q1969" i="1"/>
  <c r="A1970" i="1"/>
  <c r="B1970" i="1"/>
  <c r="C1970" i="1"/>
  <c r="D1970" i="1"/>
  <c r="E1970" i="1"/>
  <c r="F1970" i="1"/>
  <c r="G1970" i="1"/>
  <c r="H1970" i="1"/>
  <c r="I1970" i="1"/>
  <c r="J1970" i="1"/>
  <c r="K1970" i="1"/>
  <c r="L1970" i="1"/>
  <c r="M1970" i="1"/>
  <c r="N1970" i="1"/>
  <c r="O1970" i="1"/>
  <c r="P1970" i="1"/>
  <c r="Q1970" i="1"/>
  <c r="A1971" i="1"/>
  <c r="B1971" i="1"/>
  <c r="C1971" i="1"/>
  <c r="E1971" i="1"/>
  <c r="F1971" i="1"/>
  <c r="G1971" i="1"/>
  <c r="H1971" i="1"/>
  <c r="I1971" i="1"/>
  <c r="J1971" i="1"/>
  <c r="K1971" i="1"/>
  <c r="L1971" i="1"/>
  <c r="M1971" i="1"/>
  <c r="N1971" i="1"/>
  <c r="O1971" i="1"/>
  <c r="P1971" i="1"/>
  <c r="Q1971" i="1"/>
  <c r="A1972" i="1"/>
  <c r="B1972" i="1"/>
  <c r="C1972" i="1"/>
  <c r="E1972" i="1"/>
  <c r="F1972" i="1"/>
  <c r="G1972" i="1"/>
  <c r="H1972" i="1"/>
  <c r="I1972" i="1"/>
  <c r="J1972" i="1"/>
  <c r="K1972" i="1"/>
  <c r="L1972" i="1"/>
  <c r="M1972" i="1"/>
  <c r="N1972" i="1"/>
  <c r="O1972" i="1"/>
  <c r="P1972" i="1"/>
  <c r="Q1972" i="1"/>
  <c r="A1973" i="1"/>
  <c r="B1973" i="1"/>
  <c r="C1973" i="1"/>
  <c r="E1973" i="1"/>
  <c r="F1973" i="1"/>
  <c r="G1973" i="1"/>
  <c r="H1973" i="1"/>
  <c r="I1973" i="1"/>
  <c r="J1973" i="1"/>
  <c r="K1973" i="1"/>
  <c r="L1973" i="1"/>
  <c r="M1973" i="1"/>
  <c r="N1973" i="1"/>
  <c r="O1973" i="1"/>
  <c r="P1973" i="1"/>
  <c r="Q1973" i="1"/>
  <c r="A1974" i="1"/>
  <c r="B1974" i="1"/>
  <c r="C1974" i="1"/>
  <c r="E1974" i="1"/>
  <c r="F1974" i="1"/>
  <c r="G1974" i="1"/>
  <c r="H1974" i="1"/>
  <c r="I1974" i="1"/>
  <c r="J1974" i="1"/>
  <c r="K1974" i="1"/>
  <c r="L1974" i="1"/>
  <c r="M1974" i="1"/>
  <c r="N1974" i="1"/>
  <c r="O1974" i="1"/>
  <c r="P1974" i="1"/>
  <c r="Q1974" i="1"/>
  <c r="A1975" i="1"/>
  <c r="B1975" i="1"/>
  <c r="C1975" i="1"/>
  <c r="E1975" i="1"/>
  <c r="F1975" i="1"/>
  <c r="G1975" i="1"/>
  <c r="H1975" i="1"/>
  <c r="I1975" i="1"/>
  <c r="J1975" i="1"/>
  <c r="K1975" i="1"/>
  <c r="L1975" i="1"/>
  <c r="M1975" i="1"/>
  <c r="N1975" i="1"/>
  <c r="O1975" i="1"/>
  <c r="P1975" i="1"/>
  <c r="Q1975" i="1"/>
  <c r="A1976" i="1"/>
  <c r="B1976" i="1"/>
  <c r="C1976" i="1"/>
  <c r="E1976" i="1"/>
  <c r="F1976" i="1"/>
  <c r="G1976" i="1"/>
  <c r="H1976" i="1"/>
  <c r="I1976" i="1"/>
  <c r="J1976" i="1"/>
  <c r="K1976" i="1"/>
  <c r="L1976" i="1"/>
  <c r="M1976" i="1"/>
  <c r="N1976" i="1"/>
  <c r="O1976" i="1"/>
  <c r="P1976" i="1"/>
  <c r="Q1976" i="1"/>
  <c r="A1977" i="1"/>
  <c r="B1977" i="1"/>
  <c r="C1977" i="1"/>
  <c r="D1977" i="1"/>
  <c r="E1977" i="1"/>
  <c r="F1977" i="1"/>
  <c r="G1977" i="1"/>
  <c r="H1977" i="1"/>
  <c r="I1977" i="1"/>
  <c r="J1977" i="1"/>
  <c r="K1977" i="1"/>
  <c r="L1977" i="1"/>
  <c r="M1977" i="1"/>
  <c r="N1977" i="1"/>
  <c r="O1977" i="1"/>
  <c r="P1977" i="1"/>
  <c r="Q1977" i="1"/>
  <c r="A1978" i="1"/>
  <c r="B1978" i="1"/>
  <c r="C1978" i="1"/>
  <c r="E1978" i="1"/>
  <c r="F1978" i="1"/>
  <c r="G1978" i="1"/>
  <c r="H1978" i="1"/>
  <c r="I1978" i="1"/>
  <c r="J1978" i="1"/>
  <c r="K1978" i="1"/>
  <c r="L1978" i="1"/>
  <c r="M1978" i="1"/>
  <c r="N1978" i="1"/>
  <c r="O1978" i="1"/>
  <c r="P1978" i="1"/>
  <c r="Q1978" i="1"/>
  <c r="A1979" i="1"/>
  <c r="B1979" i="1"/>
  <c r="C1979" i="1"/>
  <c r="D1979" i="1"/>
  <c r="E1979" i="1"/>
  <c r="F1979" i="1"/>
  <c r="G1979" i="1"/>
  <c r="H1979" i="1"/>
  <c r="I1979" i="1"/>
  <c r="J1979" i="1"/>
  <c r="K1979" i="1"/>
  <c r="L1979" i="1"/>
  <c r="M1979" i="1"/>
  <c r="N1979" i="1"/>
  <c r="O1979" i="1"/>
  <c r="P1979" i="1"/>
  <c r="Q1979" i="1"/>
  <c r="A1980" i="1"/>
  <c r="B1980" i="1"/>
  <c r="C1980" i="1"/>
  <c r="D1980" i="1"/>
  <c r="E1980" i="1"/>
  <c r="F1980" i="1"/>
  <c r="G1980" i="1"/>
  <c r="H1980" i="1"/>
  <c r="I1980" i="1"/>
  <c r="J1980" i="1"/>
  <c r="K1980" i="1"/>
  <c r="L1980" i="1"/>
  <c r="M1980" i="1"/>
  <c r="N1980" i="1"/>
  <c r="O1980" i="1"/>
  <c r="P1980" i="1"/>
  <c r="Q1980" i="1"/>
  <c r="A1981" i="1"/>
  <c r="B1981" i="1"/>
  <c r="C1981" i="1"/>
  <c r="D1981" i="1"/>
  <c r="E1981" i="1"/>
  <c r="F1981" i="1"/>
  <c r="G1981" i="1"/>
  <c r="H1981" i="1"/>
  <c r="I1981" i="1"/>
  <c r="J1981" i="1"/>
  <c r="K1981" i="1"/>
  <c r="L1981" i="1"/>
  <c r="M1981" i="1"/>
  <c r="N1981" i="1"/>
  <c r="O1981" i="1"/>
  <c r="P1981" i="1"/>
  <c r="Q1981" i="1"/>
  <c r="A1982" i="1"/>
  <c r="B1982" i="1"/>
  <c r="C1982" i="1"/>
  <c r="D1982" i="1"/>
  <c r="E1982" i="1"/>
  <c r="F1982" i="1"/>
  <c r="G1982" i="1"/>
  <c r="H1982" i="1"/>
  <c r="I1982" i="1"/>
  <c r="J1982" i="1"/>
  <c r="K1982" i="1"/>
  <c r="L1982" i="1"/>
  <c r="M1982" i="1"/>
  <c r="N1982" i="1"/>
  <c r="O1982" i="1"/>
  <c r="P1982" i="1"/>
  <c r="Q1982" i="1"/>
  <c r="A1983" i="1"/>
  <c r="B1983" i="1"/>
  <c r="C1983" i="1"/>
  <c r="D1983" i="1"/>
  <c r="E1983" i="1"/>
  <c r="F1983" i="1"/>
  <c r="G1983" i="1"/>
  <c r="H1983" i="1"/>
  <c r="I1983" i="1"/>
  <c r="J1983" i="1"/>
  <c r="K1983" i="1"/>
  <c r="L1983" i="1"/>
  <c r="M1983" i="1"/>
  <c r="N1983" i="1"/>
  <c r="O1983" i="1"/>
  <c r="P1983" i="1"/>
  <c r="Q1983" i="1"/>
  <c r="A1984" i="1"/>
  <c r="B1984" i="1"/>
  <c r="C1984" i="1"/>
  <c r="D1984" i="1"/>
  <c r="E1984" i="1"/>
  <c r="F1984" i="1"/>
  <c r="G1984" i="1"/>
  <c r="H1984" i="1"/>
  <c r="I1984" i="1"/>
  <c r="J1984" i="1"/>
  <c r="K1984" i="1"/>
  <c r="L1984" i="1"/>
  <c r="M1984" i="1"/>
  <c r="N1984" i="1"/>
  <c r="O1984" i="1"/>
  <c r="P1984" i="1"/>
  <c r="Q1984" i="1"/>
  <c r="A1985" i="1"/>
  <c r="B1985" i="1"/>
  <c r="C1985" i="1"/>
  <c r="D1985" i="1"/>
  <c r="E1985" i="1"/>
  <c r="F1985" i="1"/>
  <c r="G1985" i="1"/>
  <c r="H1985" i="1"/>
  <c r="I1985" i="1"/>
  <c r="J1985" i="1"/>
  <c r="K1985" i="1"/>
  <c r="L1985" i="1"/>
  <c r="M1985" i="1"/>
  <c r="N1985" i="1"/>
  <c r="O1985" i="1"/>
  <c r="P1985" i="1"/>
  <c r="Q1985" i="1"/>
  <c r="A1986" i="1"/>
  <c r="B1986" i="1"/>
  <c r="C1986" i="1"/>
  <c r="D1986" i="1"/>
  <c r="E1986" i="1"/>
  <c r="F1986" i="1"/>
  <c r="G1986" i="1"/>
  <c r="H1986" i="1"/>
  <c r="I1986" i="1"/>
  <c r="J1986" i="1"/>
  <c r="K1986" i="1"/>
  <c r="L1986" i="1"/>
  <c r="M1986" i="1"/>
  <c r="N1986" i="1"/>
  <c r="O1986" i="1"/>
  <c r="P1986" i="1"/>
  <c r="Q1986" i="1"/>
  <c r="A1987" i="1"/>
  <c r="B1987" i="1"/>
  <c r="C1987" i="1"/>
  <c r="E1987" i="1"/>
  <c r="F1987" i="1"/>
  <c r="G1987" i="1"/>
  <c r="H1987" i="1"/>
  <c r="I1987" i="1"/>
  <c r="J1987" i="1"/>
  <c r="K1987" i="1"/>
  <c r="L1987" i="1"/>
  <c r="M1987" i="1"/>
  <c r="N1987" i="1"/>
  <c r="O1987" i="1"/>
  <c r="P1987" i="1"/>
  <c r="Q1987" i="1"/>
  <c r="A1988" i="1"/>
  <c r="B1988" i="1"/>
  <c r="C1988" i="1"/>
  <c r="D1988" i="1"/>
  <c r="E1988" i="1"/>
  <c r="F1988" i="1"/>
  <c r="G1988" i="1"/>
  <c r="H1988" i="1"/>
  <c r="I1988" i="1"/>
  <c r="J1988" i="1"/>
  <c r="K1988" i="1"/>
  <c r="L1988" i="1"/>
  <c r="M1988" i="1"/>
  <c r="N1988" i="1"/>
  <c r="O1988" i="1"/>
  <c r="P1988" i="1"/>
  <c r="Q1988" i="1"/>
  <c r="A1989" i="1"/>
  <c r="B1989" i="1"/>
  <c r="C1989" i="1"/>
  <c r="E1989" i="1"/>
  <c r="F1989" i="1"/>
  <c r="G1989" i="1"/>
  <c r="H1989" i="1"/>
  <c r="I1989" i="1"/>
  <c r="J1989" i="1"/>
  <c r="K1989" i="1"/>
  <c r="L1989" i="1"/>
  <c r="M1989" i="1"/>
  <c r="N1989" i="1"/>
  <c r="O1989" i="1"/>
  <c r="P1989" i="1"/>
  <c r="Q1989" i="1"/>
  <c r="A1990" i="1"/>
  <c r="B1990" i="1"/>
  <c r="C1990" i="1"/>
  <c r="D1990" i="1"/>
  <c r="E1990" i="1"/>
  <c r="F1990" i="1"/>
  <c r="G1990" i="1"/>
  <c r="H1990" i="1"/>
  <c r="I1990" i="1"/>
  <c r="J1990" i="1"/>
  <c r="K1990" i="1"/>
  <c r="L1990" i="1"/>
  <c r="M1990" i="1"/>
  <c r="N1990" i="1"/>
  <c r="O1990" i="1"/>
  <c r="P1990" i="1"/>
  <c r="Q1990" i="1"/>
  <c r="A1991" i="1"/>
  <c r="B1991" i="1"/>
  <c r="C1991" i="1"/>
  <c r="E1991" i="1"/>
  <c r="F1991" i="1"/>
  <c r="G1991" i="1"/>
  <c r="H1991" i="1"/>
  <c r="I1991" i="1"/>
  <c r="J1991" i="1"/>
  <c r="K1991" i="1"/>
  <c r="L1991" i="1"/>
  <c r="M1991" i="1"/>
  <c r="N1991" i="1"/>
  <c r="O1991" i="1"/>
  <c r="P1991" i="1"/>
  <c r="Q1991" i="1"/>
  <c r="A1992" i="1"/>
  <c r="B1992" i="1"/>
  <c r="C1992" i="1"/>
  <c r="D1992" i="1"/>
  <c r="E1992" i="1"/>
  <c r="F1992" i="1"/>
  <c r="G1992" i="1"/>
  <c r="H1992" i="1"/>
  <c r="I1992" i="1"/>
  <c r="J1992" i="1"/>
  <c r="K1992" i="1"/>
  <c r="L1992" i="1"/>
  <c r="M1992" i="1"/>
  <c r="N1992" i="1"/>
  <c r="O1992" i="1"/>
  <c r="P1992" i="1"/>
  <c r="Q1992" i="1"/>
  <c r="A1993" i="1"/>
  <c r="B1993" i="1"/>
  <c r="C1993" i="1"/>
  <c r="D1993" i="1"/>
  <c r="E1993" i="1"/>
  <c r="F1993" i="1"/>
  <c r="G1993" i="1"/>
  <c r="H1993" i="1"/>
  <c r="I1993" i="1"/>
  <c r="J1993" i="1"/>
  <c r="K1993" i="1"/>
  <c r="L1993" i="1"/>
  <c r="M1993" i="1"/>
  <c r="N1993" i="1"/>
  <c r="O1993" i="1"/>
  <c r="P1993" i="1"/>
  <c r="Q1993" i="1"/>
  <c r="A1994" i="1"/>
  <c r="B1994" i="1"/>
  <c r="C1994" i="1"/>
  <c r="D1994" i="1"/>
  <c r="E1994" i="1"/>
  <c r="F1994" i="1"/>
  <c r="G1994" i="1"/>
  <c r="H1994" i="1"/>
  <c r="I1994" i="1"/>
  <c r="J1994" i="1"/>
  <c r="K1994" i="1"/>
  <c r="L1994" i="1"/>
  <c r="M1994" i="1"/>
  <c r="N1994" i="1"/>
  <c r="O1994" i="1"/>
  <c r="P1994" i="1"/>
  <c r="Q1994" i="1"/>
  <c r="A1995" i="1"/>
  <c r="B1995" i="1"/>
  <c r="C1995" i="1"/>
  <c r="E1995" i="1"/>
  <c r="F1995" i="1"/>
  <c r="G1995" i="1"/>
  <c r="H1995" i="1"/>
  <c r="I1995" i="1"/>
  <c r="J1995" i="1"/>
  <c r="K1995" i="1"/>
  <c r="L1995" i="1"/>
  <c r="M1995" i="1"/>
  <c r="N1995" i="1"/>
  <c r="O1995" i="1"/>
  <c r="P1995" i="1"/>
  <c r="Q1995" i="1"/>
  <c r="A1996" i="1"/>
  <c r="B1996" i="1"/>
  <c r="C1996" i="1"/>
  <c r="D1996" i="1"/>
  <c r="E1996" i="1"/>
  <c r="F1996" i="1"/>
  <c r="G1996" i="1"/>
  <c r="H1996" i="1"/>
  <c r="I1996" i="1"/>
  <c r="J1996" i="1"/>
  <c r="K1996" i="1"/>
  <c r="L1996" i="1"/>
  <c r="M1996" i="1"/>
  <c r="N1996" i="1"/>
  <c r="O1996" i="1"/>
  <c r="P1996" i="1"/>
  <c r="Q1996" i="1"/>
  <c r="A1997" i="1"/>
  <c r="B1997" i="1"/>
  <c r="C1997" i="1"/>
  <c r="D1997" i="1"/>
  <c r="E1997" i="1"/>
  <c r="F1997" i="1"/>
  <c r="G1997" i="1"/>
  <c r="H1997" i="1"/>
  <c r="I1997" i="1"/>
  <c r="J1997" i="1"/>
  <c r="K1997" i="1"/>
  <c r="L1997" i="1"/>
  <c r="M1997" i="1"/>
  <c r="N1997" i="1"/>
  <c r="O1997" i="1"/>
  <c r="P1997" i="1"/>
  <c r="Q1997" i="1"/>
  <c r="A1998" i="1"/>
  <c r="B1998" i="1"/>
  <c r="C1998" i="1"/>
  <c r="D1998" i="1"/>
  <c r="E1998" i="1"/>
  <c r="F1998" i="1"/>
  <c r="G1998" i="1"/>
  <c r="H1998" i="1"/>
  <c r="I1998" i="1"/>
  <c r="J1998" i="1"/>
  <c r="K1998" i="1"/>
  <c r="L1998" i="1"/>
  <c r="M1998" i="1"/>
  <c r="N1998" i="1"/>
  <c r="O1998" i="1"/>
  <c r="P1998" i="1"/>
  <c r="Q1998" i="1"/>
  <c r="A1999" i="1"/>
  <c r="B1999" i="1"/>
  <c r="C1999" i="1"/>
  <c r="D1999" i="1"/>
  <c r="E1999" i="1"/>
  <c r="F1999" i="1"/>
  <c r="G1999" i="1"/>
  <c r="H1999" i="1"/>
  <c r="I1999" i="1"/>
  <c r="J1999" i="1"/>
  <c r="K1999" i="1"/>
  <c r="L1999" i="1"/>
  <c r="M1999" i="1"/>
  <c r="N1999" i="1"/>
  <c r="O1999" i="1"/>
  <c r="P1999" i="1"/>
  <c r="Q1999" i="1"/>
  <c r="A2000" i="1"/>
  <c r="B2000" i="1"/>
  <c r="C2000" i="1"/>
  <c r="D2000" i="1"/>
  <c r="E2000" i="1"/>
  <c r="F2000" i="1"/>
  <c r="G2000" i="1"/>
  <c r="H2000" i="1"/>
  <c r="I2000" i="1"/>
  <c r="J2000" i="1"/>
  <c r="K2000" i="1"/>
  <c r="L2000" i="1"/>
  <c r="M2000" i="1"/>
  <c r="N2000" i="1"/>
  <c r="O2000" i="1"/>
  <c r="P2000" i="1"/>
  <c r="Q2000" i="1"/>
  <c r="A2001" i="1"/>
  <c r="B2001" i="1"/>
  <c r="D2001" i="1"/>
  <c r="E2001" i="1"/>
  <c r="F2001" i="1"/>
  <c r="G2001" i="1"/>
  <c r="H2001" i="1"/>
  <c r="I2001" i="1"/>
  <c r="J2001" i="1"/>
  <c r="K2001" i="1"/>
  <c r="L2001" i="1"/>
  <c r="M2001" i="1"/>
  <c r="N2001" i="1"/>
  <c r="O2001" i="1"/>
  <c r="P2001" i="1"/>
  <c r="Q2001" i="1"/>
  <c r="A2002" i="1"/>
  <c r="B2002" i="1"/>
  <c r="C2002" i="1"/>
  <c r="D2002" i="1"/>
  <c r="E2002" i="1"/>
  <c r="F2002" i="1"/>
  <c r="G2002" i="1"/>
  <c r="H2002" i="1"/>
  <c r="I2002" i="1"/>
  <c r="J2002" i="1"/>
  <c r="K2002" i="1"/>
  <c r="L2002" i="1"/>
  <c r="M2002" i="1"/>
  <c r="N2002" i="1"/>
  <c r="O2002" i="1"/>
  <c r="P2002" i="1"/>
  <c r="Q2002" i="1"/>
  <c r="A2003" i="1"/>
  <c r="B2003" i="1"/>
  <c r="C2003" i="1"/>
  <c r="D2003" i="1"/>
  <c r="E2003" i="1"/>
  <c r="F2003" i="1"/>
  <c r="G2003" i="1"/>
  <c r="H2003" i="1"/>
  <c r="I2003" i="1"/>
  <c r="J2003" i="1"/>
  <c r="K2003" i="1"/>
  <c r="L2003" i="1"/>
  <c r="M2003" i="1"/>
  <c r="N2003" i="1"/>
  <c r="O2003" i="1"/>
  <c r="P2003" i="1"/>
  <c r="Q2003" i="1"/>
  <c r="A2004" i="1"/>
  <c r="B2004" i="1"/>
  <c r="C2004" i="1"/>
  <c r="E2004" i="1"/>
  <c r="F2004" i="1"/>
  <c r="G2004" i="1"/>
  <c r="H2004" i="1"/>
  <c r="I2004" i="1"/>
  <c r="J2004" i="1"/>
  <c r="K2004" i="1"/>
  <c r="L2004" i="1"/>
  <c r="M2004" i="1"/>
  <c r="N2004" i="1"/>
  <c r="O2004" i="1"/>
  <c r="P2004" i="1"/>
  <c r="Q2004" i="1"/>
  <c r="A2005" i="1"/>
  <c r="B2005" i="1"/>
  <c r="C2005" i="1"/>
  <c r="E2005" i="1"/>
  <c r="F2005" i="1"/>
  <c r="G2005" i="1"/>
  <c r="H2005" i="1"/>
  <c r="I2005" i="1"/>
  <c r="J2005" i="1"/>
  <c r="K2005" i="1"/>
  <c r="L2005" i="1"/>
  <c r="M2005" i="1"/>
  <c r="N2005" i="1"/>
  <c r="O2005" i="1"/>
  <c r="P2005" i="1"/>
  <c r="Q2005" i="1"/>
  <c r="A2006" i="1"/>
  <c r="B2006" i="1"/>
  <c r="C2006" i="1"/>
  <c r="D2006" i="1"/>
  <c r="E2006" i="1"/>
  <c r="F2006" i="1"/>
  <c r="G2006" i="1"/>
  <c r="H2006" i="1"/>
  <c r="I2006" i="1"/>
  <c r="J2006" i="1"/>
  <c r="K2006" i="1"/>
  <c r="L2006" i="1"/>
  <c r="M2006" i="1"/>
  <c r="N2006" i="1"/>
  <c r="O2006" i="1"/>
  <c r="P2006" i="1"/>
  <c r="Q2006" i="1"/>
  <c r="A2007" i="1"/>
  <c r="B2007" i="1"/>
  <c r="C2007" i="1"/>
  <c r="E2007" i="1"/>
  <c r="F2007" i="1"/>
  <c r="G2007" i="1"/>
  <c r="H2007" i="1"/>
  <c r="I2007" i="1"/>
  <c r="J2007" i="1"/>
  <c r="K2007" i="1"/>
  <c r="L2007" i="1"/>
  <c r="M2007" i="1"/>
  <c r="N2007" i="1"/>
  <c r="O2007" i="1"/>
  <c r="P2007" i="1"/>
  <c r="Q2007" i="1"/>
  <c r="A2008" i="1"/>
  <c r="B2008" i="1"/>
  <c r="C2008" i="1"/>
  <c r="D2008" i="1"/>
  <c r="E2008" i="1"/>
  <c r="F2008" i="1"/>
  <c r="G2008" i="1"/>
  <c r="H2008" i="1"/>
  <c r="I2008" i="1"/>
  <c r="J2008" i="1"/>
  <c r="K2008" i="1"/>
  <c r="L2008" i="1"/>
  <c r="M2008" i="1"/>
  <c r="N2008" i="1"/>
  <c r="O2008" i="1"/>
  <c r="P2008" i="1"/>
  <c r="Q2008" i="1"/>
  <c r="A2009" i="1"/>
  <c r="B2009" i="1"/>
  <c r="C2009" i="1"/>
  <c r="D2009" i="1"/>
  <c r="E2009" i="1"/>
  <c r="F2009" i="1"/>
  <c r="G2009" i="1"/>
  <c r="H2009" i="1"/>
  <c r="I2009" i="1"/>
  <c r="J2009" i="1"/>
  <c r="K2009" i="1"/>
  <c r="L2009" i="1"/>
  <c r="M2009" i="1"/>
  <c r="N2009" i="1"/>
  <c r="O2009" i="1"/>
  <c r="P2009" i="1"/>
  <c r="Q2009" i="1"/>
  <c r="A2010" i="1"/>
  <c r="B2010" i="1"/>
  <c r="C2010" i="1"/>
  <c r="D2010" i="1"/>
  <c r="E2010" i="1"/>
  <c r="F2010" i="1"/>
  <c r="G2010" i="1"/>
  <c r="H2010" i="1"/>
  <c r="I2010" i="1"/>
  <c r="J2010" i="1"/>
  <c r="K2010" i="1"/>
  <c r="L2010" i="1"/>
  <c r="M2010" i="1"/>
  <c r="N2010" i="1"/>
  <c r="O2010" i="1"/>
  <c r="P2010" i="1"/>
  <c r="Q2010" i="1"/>
  <c r="A2011" i="1"/>
  <c r="B2011" i="1"/>
  <c r="C2011" i="1"/>
  <c r="D2011" i="1"/>
  <c r="E2011" i="1"/>
  <c r="F2011" i="1"/>
  <c r="G2011" i="1"/>
  <c r="H2011" i="1"/>
  <c r="I2011" i="1"/>
  <c r="J2011" i="1"/>
  <c r="K2011" i="1"/>
  <c r="L2011" i="1"/>
  <c r="M2011" i="1"/>
  <c r="N2011" i="1"/>
  <c r="O2011" i="1"/>
  <c r="P2011" i="1"/>
  <c r="Q2011" i="1"/>
  <c r="A2012" i="1"/>
  <c r="B2012" i="1"/>
  <c r="C2012" i="1"/>
  <c r="D2012" i="1"/>
  <c r="E2012" i="1"/>
  <c r="F2012" i="1"/>
  <c r="G2012" i="1"/>
  <c r="H2012" i="1"/>
  <c r="I2012" i="1"/>
  <c r="J2012" i="1"/>
  <c r="K2012" i="1"/>
  <c r="L2012" i="1"/>
  <c r="M2012" i="1"/>
  <c r="N2012" i="1"/>
  <c r="O2012" i="1"/>
  <c r="P2012" i="1"/>
  <c r="Q2012" i="1"/>
  <c r="A2013" i="1"/>
  <c r="B2013" i="1"/>
  <c r="C2013" i="1"/>
  <c r="D2013" i="1"/>
  <c r="E2013" i="1"/>
  <c r="F2013" i="1"/>
  <c r="G2013" i="1"/>
  <c r="H2013" i="1"/>
  <c r="I2013" i="1"/>
  <c r="J2013" i="1"/>
  <c r="K2013" i="1"/>
  <c r="L2013" i="1"/>
  <c r="M2013" i="1"/>
  <c r="N2013" i="1"/>
  <c r="O2013" i="1"/>
  <c r="P2013" i="1"/>
  <c r="Q2013" i="1"/>
  <c r="A2014" i="1"/>
  <c r="B2014" i="1"/>
  <c r="C2014" i="1"/>
  <c r="D2014" i="1"/>
  <c r="E2014" i="1"/>
  <c r="F2014" i="1"/>
  <c r="G2014" i="1"/>
  <c r="H2014" i="1"/>
  <c r="I2014" i="1"/>
  <c r="J2014" i="1"/>
  <c r="K2014" i="1"/>
  <c r="L2014" i="1"/>
  <c r="M2014" i="1"/>
  <c r="N2014" i="1"/>
  <c r="O2014" i="1"/>
  <c r="P2014" i="1"/>
  <c r="Q2014" i="1"/>
  <c r="A2015" i="1"/>
  <c r="B2015" i="1"/>
  <c r="C2015" i="1"/>
  <c r="D2015" i="1"/>
  <c r="E2015" i="1"/>
  <c r="F2015" i="1"/>
  <c r="G2015" i="1"/>
  <c r="H2015" i="1"/>
  <c r="I2015" i="1"/>
  <c r="J2015" i="1"/>
  <c r="K2015" i="1"/>
  <c r="L2015" i="1"/>
  <c r="M2015" i="1"/>
  <c r="N2015" i="1"/>
  <c r="O2015" i="1"/>
  <c r="P2015" i="1"/>
  <c r="Q2015" i="1"/>
  <c r="A2016" i="1"/>
  <c r="B2016" i="1"/>
  <c r="C2016" i="1"/>
  <c r="E2016" i="1"/>
  <c r="F2016" i="1"/>
  <c r="G2016" i="1"/>
  <c r="H2016" i="1"/>
  <c r="I2016" i="1"/>
  <c r="J2016" i="1"/>
  <c r="K2016" i="1"/>
  <c r="L2016" i="1"/>
  <c r="M2016" i="1"/>
  <c r="N2016" i="1"/>
  <c r="O2016" i="1"/>
  <c r="P2016" i="1"/>
  <c r="Q2016" i="1"/>
  <c r="A2017" i="1"/>
  <c r="B2017" i="1"/>
  <c r="C2017" i="1"/>
  <c r="D2017" i="1"/>
  <c r="E2017" i="1"/>
  <c r="F2017" i="1"/>
  <c r="G2017" i="1"/>
  <c r="H2017" i="1"/>
  <c r="I2017" i="1"/>
  <c r="J2017" i="1"/>
  <c r="K2017" i="1"/>
  <c r="L2017" i="1"/>
  <c r="M2017" i="1"/>
  <c r="N2017" i="1"/>
  <c r="O2017" i="1"/>
  <c r="P2017" i="1"/>
  <c r="Q2017" i="1"/>
  <c r="A2018" i="1"/>
  <c r="B2018" i="1"/>
  <c r="C2018" i="1"/>
  <c r="D2018" i="1"/>
  <c r="E2018" i="1"/>
  <c r="F2018" i="1"/>
  <c r="G2018" i="1"/>
  <c r="H2018" i="1"/>
  <c r="I2018" i="1"/>
  <c r="J2018" i="1"/>
  <c r="K2018" i="1"/>
  <c r="L2018" i="1"/>
  <c r="M2018" i="1"/>
  <c r="N2018" i="1"/>
  <c r="O2018" i="1"/>
  <c r="P2018" i="1"/>
  <c r="Q2018" i="1"/>
  <c r="A2019" i="1"/>
  <c r="B2019" i="1"/>
  <c r="C2019" i="1"/>
  <c r="D2019" i="1"/>
  <c r="E2019" i="1"/>
  <c r="F2019" i="1"/>
  <c r="G2019" i="1"/>
  <c r="H2019" i="1"/>
  <c r="I2019" i="1"/>
  <c r="J2019" i="1"/>
  <c r="K2019" i="1"/>
  <c r="L2019" i="1"/>
  <c r="M2019" i="1"/>
  <c r="N2019" i="1"/>
  <c r="O2019" i="1"/>
  <c r="P2019" i="1"/>
  <c r="Q2019" i="1"/>
  <c r="A2020" i="1"/>
  <c r="B2020" i="1"/>
  <c r="C2020" i="1"/>
  <c r="D2020" i="1"/>
  <c r="E2020" i="1"/>
  <c r="F2020" i="1"/>
  <c r="G2020" i="1"/>
  <c r="H2020" i="1"/>
  <c r="I2020" i="1"/>
  <c r="J2020" i="1"/>
  <c r="K2020" i="1"/>
  <c r="L2020" i="1"/>
  <c r="M2020" i="1"/>
  <c r="N2020" i="1"/>
  <c r="O2020" i="1"/>
  <c r="P2020" i="1"/>
  <c r="Q2020" i="1"/>
  <c r="A2021" i="1"/>
  <c r="B2021" i="1"/>
  <c r="C2021" i="1"/>
  <c r="D2021" i="1"/>
  <c r="E2021" i="1"/>
  <c r="F2021" i="1"/>
  <c r="G2021" i="1"/>
  <c r="H2021" i="1"/>
  <c r="I2021" i="1"/>
  <c r="J2021" i="1"/>
  <c r="K2021" i="1"/>
  <c r="L2021" i="1"/>
  <c r="M2021" i="1"/>
  <c r="N2021" i="1"/>
  <c r="O2021" i="1"/>
  <c r="P2021" i="1"/>
  <c r="Q2021" i="1"/>
  <c r="A2022" i="1"/>
  <c r="B2022" i="1"/>
  <c r="C2022" i="1"/>
  <c r="D2022" i="1"/>
  <c r="E2022" i="1"/>
  <c r="F2022" i="1"/>
  <c r="G2022" i="1"/>
  <c r="H2022" i="1"/>
  <c r="I2022" i="1"/>
  <c r="J2022" i="1"/>
  <c r="K2022" i="1"/>
  <c r="L2022" i="1"/>
  <c r="M2022" i="1"/>
  <c r="N2022" i="1"/>
  <c r="O2022" i="1"/>
  <c r="P2022" i="1"/>
  <c r="Q2022" i="1"/>
  <c r="A2023" i="1"/>
  <c r="B2023" i="1"/>
  <c r="C2023" i="1"/>
  <c r="D2023" i="1"/>
  <c r="E2023" i="1"/>
  <c r="F2023" i="1"/>
  <c r="G2023" i="1"/>
  <c r="H2023" i="1"/>
  <c r="I2023" i="1"/>
  <c r="J2023" i="1"/>
  <c r="K2023" i="1"/>
  <c r="L2023" i="1"/>
  <c r="M2023" i="1"/>
  <c r="N2023" i="1"/>
  <c r="O2023" i="1"/>
  <c r="P2023" i="1"/>
  <c r="Q2023" i="1"/>
  <c r="A2024" i="1"/>
  <c r="B2024" i="1"/>
  <c r="C2024" i="1"/>
  <c r="D2024" i="1"/>
  <c r="E2024" i="1"/>
  <c r="F2024" i="1"/>
  <c r="G2024" i="1"/>
  <c r="H2024" i="1"/>
  <c r="I2024" i="1"/>
  <c r="J2024" i="1"/>
  <c r="K2024" i="1"/>
  <c r="L2024" i="1"/>
  <c r="M2024" i="1"/>
  <c r="N2024" i="1"/>
  <c r="O2024" i="1"/>
  <c r="P2024" i="1"/>
  <c r="Q2024" i="1"/>
  <c r="A2025" i="1"/>
  <c r="B2025" i="1"/>
  <c r="C2025" i="1"/>
  <c r="D2025" i="1"/>
  <c r="E2025" i="1"/>
  <c r="F2025" i="1"/>
  <c r="G2025" i="1"/>
  <c r="H2025" i="1"/>
  <c r="I2025" i="1"/>
  <c r="J2025" i="1"/>
  <c r="K2025" i="1"/>
  <c r="L2025" i="1"/>
  <c r="M2025" i="1"/>
  <c r="N2025" i="1"/>
  <c r="O2025" i="1"/>
  <c r="P2025" i="1"/>
  <c r="Q2025" i="1"/>
  <c r="A2026" i="1"/>
  <c r="B2026" i="1"/>
  <c r="C2026" i="1"/>
  <c r="D2026" i="1"/>
  <c r="E2026" i="1"/>
  <c r="F2026" i="1"/>
  <c r="G2026" i="1"/>
  <c r="H2026" i="1"/>
  <c r="I2026" i="1"/>
  <c r="J2026" i="1"/>
  <c r="K2026" i="1"/>
  <c r="L2026" i="1"/>
  <c r="M2026" i="1"/>
  <c r="N2026" i="1"/>
  <c r="O2026" i="1"/>
  <c r="P2026" i="1"/>
  <c r="Q2026" i="1"/>
  <c r="A2027" i="1"/>
  <c r="B2027" i="1"/>
  <c r="C2027" i="1"/>
  <c r="D2027" i="1"/>
  <c r="E2027" i="1"/>
  <c r="F2027" i="1"/>
  <c r="G2027" i="1"/>
  <c r="H2027" i="1"/>
  <c r="I2027" i="1"/>
  <c r="J2027" i="1"/>
  <c r="K2027" i="1"/>
  <c r="L2027" i="1"/>
  <c r="M2027" i="1"/>
  <c r="N2027" i="1"/>
  <c r="O2027" i="1"/>
  <c r="P2027" i="1"/>
  <c r="Q2027" i="1"/>
  <c r="A2028" i="1"/>
  <c r="B2028" i="1"/>
  <c r="C2028" i="1"/>
  <c r="D2028" i="1"/>
  <c r="E2028" i="1"/>
  <c r="F2028" i="1"/>
  <c r="G2028" i="1"/>
  <c r="H2028" i="1"/>
  <c r="I2028" i="1"/>
  <c r="J2028" i="1"/>
  <c r="K2028" i="1"/>
  <c r="L2028" i="1"/>
  <c r="M2028" i="1"/>
  <c r="N2028" i="1"/>
  <c r="O2028" i="1"/>
  <c r="P2028" i="1"/>
  <c r="Q2028" i="1"/>
  <c r="A2029" i="1"/>
  <c r="B2029" i="1"/>
  <c r="C2029" i="1"/>
  <c r="E2029" i="1"/>
  <c r="F2029" i="1"/>
  <c r="G2029" i="1"/>
  <c r="H2029" i="1"/>
  <c r="I2029" i="1"/>
  <c r="J2029" i="1"/>
  <c r="K2029" i="1"/>
  <c r="L2029" i="1"/>
  <c r="M2029" i="1"/>
  <c r="N2029" i="1"/>
  <c r="O2029" i="1"/>
  <c r="P2029" i="1"/>
  <c r="Q2029" i="1"/>
  <c r="A2030" i="1"/>
  <c r="B2030" i="1"/>
  <c r="C2030" i="1"/>
  <c r="D2030" i="1"/>
  <c r="E2030" i="1"/>
  <c r="F2030" i="1"/>
  <c r="G2030" i="1"/>
  <c r="H2030" i="1"/>
  <c r="I2030" i="1"/>
  <c r="J2030" i="1"/>
  <c r="K2030" i="1"/>
  <c r="L2030" i="1"/>
  <c r="M2030" i="1"/>
  <c r="N2030" i="1"/>
  <c r="O2030" i="1"/>
  <c r="P2030" i="1"/>
  <c r="Q2030" i="1"/>
  <c r="A2031" i="1"/>
  <c r="B2031" i="1"/>
  <c r="C2031" i="1"/>
  <c r="E2031" i="1"/>
  <c r="F2031" i="1"/>
  <c r="G2031" i="1"/>
  <c r="H2031" i="1"/>
  <c r="I2031" i="1"/>
  <c r="J2031" i="1"/>
  <c r="K2031" i="1"/>
  <c r="L2031" i="1"/>
  <c r="M2031" i="1"/>
  <c r="N2031" i="1"/>
  <c r="O2031" i="1"/>
  <c r="P2031" i="1"/>
  <c r="Q2031" i="1"/>
  <c r="A2032" i="1"/>
  <c r="B2032" i="1"/>
  <c r="C2032" i="1"/>
  <c r="E2032" i="1"/>
  <c r="F2032" i="1"/>
  <c r="G2032" i="1"/>
  <c r="H2032" i="1"/>
  <c r="I2032" i="1"/>
  <c r="J2032" i="1"/>
  <c r="K2032" i="1"/>
  <c r="L2032" i="1"/>
  <c r="M2032" i="1"/>
  <c r="N2032" i="1"/>
  <c r="O2032" i="1"/>
  <c r="P2032" i="1"/>
  <c r="Q2032" i="1"/>
  <c r="A2033" i="1"/>
  <c r="B2033" i="1"/>
  <c r="C2033" i="1"/>
  <c r="E2033" i="1"/>
  <c r="F2033" i="1"/>
  <c r="G2033" i="1"/>
  <c r="H2033" i="1"/>
  <c r="I2033" i="1"/>
  <c r="J2033" i="1"/>
  <c r="K2033" i="1"/>
  <c r="L2033" i="1"/>
  <c r="M2033" i="1"/>
  <c r="N2033" i="1"/>
  <c r="O2033" i="1"/>
  <c r="P2033" i="1"/>
  <c r="Q2033" i="1"/>
  <c r="A2034" i="1"/>
  <c r="B2034" i="1"/>
  <c r="C2034" i="1"/>
  <c r="D2034" i="1"/>
  <c r="E2034" i="1"/>
  <c r="F2034" i="1"/>
  <c r="G2034" i="1"/>
  <c r="H2034" i="1"/>
  <c r="I2034" i="1"/>
  <c r="J2034" i="1"/>
  <c r="K2034" i="1"/>
  <c r="L2034" i="1"/>
  <c r="M2034" i="1"/>
  <c r="N2034" i="1"/>
  <c r="O2034" i="1"/>
  <c r="P2034" i="1"/>
  <c r="Q2034" i="1"/>
  <c r="A2035" i="1"/>
  <c r="B2035" i="1"/>
  <c r="C2035" i="1"/>
  <c r="D2035" i="1"/>
  <c r="E2035" i="1"/>
  <c r="F2035" i="1"/>
  <c r="G2035" i="1"/>
  <c r="H2035" i="1"/>
  <c r="I2035" i="1"/>
  <c r="J2035" i="1"/>
  <c r="K2035" i="1"/>
  <c r="L2035" i="1"/>
  <c r="M2035" i="1"/>
  <c r="N2035" i="1"/>
  <c r="O2035" i="1"/>
  <c r="P2035" i="1"/>
  <c r="Q2035" i="1"/>
  <c r="A2036" i="1"/>
  <c r="B2036" i="1"/>
  <c r="C2036" i="1"/>
  <c r="D2036" i="1"/>
  <c r="E2036" i="1"/>
  <c r="F2036" i="1"/>
  <c r="G2036" i="1"/>
  <c r="H2036" i="1"/>
  <c r="I2036" i="1"/>
  <c r="J2036" i="1"/>
  <c r="K2036" i="1"/>
  <c r="L2036" i="1"/>
  <c r="M2036" i="1"/>
  <c r="N2036" i="1"/>
  <c r="O2036" i="1"/>
  <c r="P2036" i="1"/>
  <c r="Q2036" i="1"/>
  <c r="A2037" i="1"/>
  <c r="B2037" i="1"/>
  <c r="C2037" i="1"/>
  <c r="D2037" i="1"/>
  <c r="E2037" i="1"/>
  <c r="F2037" i="1"/>
  <c r="G2037" i="1"/>
  <c r="H2037" i="1"/>
  <c r="I2037" i="1"/>
  <c r="J2037" i="1"/>
  <c r="K2037" i="1"/>
  <c r="L2037" i="1"/>
  <c r="M2037" i="1"/>
  <c r="N2037" i="1"/>
  <c r="O2037" i="1"/>
  <c r="P2037" i="1"/>
  <c r="Q2037" i="1"/>
  <c r="A2038" i="1"/>
  <c r="B2038" i="1"/>
  <c r="C2038" i="1"/>
  <c r="D2038" i="1"/>
  <c r="E2038" i="1"/>
  <c r="F2038" i="1"/>
  <c r="G2038" i="1"/>
  <c r="H2038" i="1"/>
  <c r="I2038" i="1"/>
  <c r="J2038" i="1"/>
  <c r="K2038" i="1"/>
  <c r="L2038" i="1"/>
  <c r="M2038" i="1"/>
  <c r="N2038" i="1"/>
  <c r="O2038" i="1"/>
  <c r="P2038" i="1"/>
  <c r="Q2038" i="1"/>
  <c r="A2039" i="1"/>
  <c r="B2039" i="1"/>
  <c r="C2039" i="1"/>
  <c r="D2039" i="1"/>
  <c r="E2039" i="1"/>
  <c r="F2039" i="1"/>
  <c r="G2039" i="1"/>
  <c r="H2039" i="1"/>
  <c r="I2039" i="1"/>
  <c r="J2039" i="1"/>
  <c r="K2039" i="1"/>
  <c r="L2039" i="1"/>
  <c r="M2039" i="1"/>
  <c r="N2039" i="1"/>
  <c r="O2039" i="1"/>
  <c r="P2039" i="1"/>
  <c r="Q2039" i="1"/>
  <c r="A2040" i="1"/>
  <c r="B2040" i="1"/>
  <c r="C2040" i="1"/>
  <c r="E2040" i="1"/>
  <c r="F2040" i="1"/>
  <c r="G2040" i="1"/>
  <c r="H2040" i="1"/>
  <c r="I2040" i="1"/>
  <c r="J2040" i="1"/>
  <c r="K2040" i="1"/>
  <c r="L2040" i="1"/>
  <c r="M2040" i="1"/>
  <c r="N2040" i="1"/>
  <c r="O2040" i="1"/>
  <c r="P2040" i="1"/>
  <c r="Q2040" i="1"/>
  <c r="A2041" i="1"/>
  <c r="B2041" i="1"/>
  <c r="C2041" i="1"/>
  <c r="E2041" i="1"/>
  <c r="F2041" i="1"/>
  <c r="G2041" i="1"/>
  <c r="H2041" i="1"/>
  <c r="I2041" i="1"/>
  <c r="J2041" i="1"/>
  <c r="K2041" i="1"/>
  <c r="L2041" i="1"/>
  <c r="M2041" i="1"/>
  <c r="N2041" i="1"/>
  <c r="O2041" i="1"/>
  <c r="P2041" i="1"/>
  <c r="Q2041" i="1"/>
  <c r="A2042" i="1"/>
  <c r="B2042" i="1"/>
  <c r="C2042" i="1"/>
  <c r="D2042" i="1"/>
  <c r="E2042" i="1"/>
  <c r="F2042" i="1"/>
  <c r="G2042" i="1"/>
  <c r="H2042" i="1"/>
  <c r="I2042" i="1"/>
  <c r="J2042" i="1"/>
  <c r="K2042" i="1"/>
  <c r="L2042" i="1"/>
  <c r="M2042" i="1"/>
  <c r="N2042" i="1"/>
  <c r="O2042" i="1"/>
  <c r="P2042" i="1"/>
  <c r="Q2042" i="1"/>
  <c r="A2043" i="1"/>
  <c r="B2043" i="1"/>
  <c r="C2043" i="1"/>
  <c r="D2043" i="1"/>
  <c r="E2043" i="1"/>
  <c r="F2043" i="1"/>
  <c r="G2043" i="1"/>
  <c r="H2043" i="1"/>
  <c r="I2043" i="1"/>
  <c r="J2043" i="1"/>
  <c r="K2043" i="1"/>
  <c r="L2043" i="1"/>
  <c r="M2043" i="1"/>
  <c r="N2043" i="1"/>
  <c r="O2043" i="1"/>
  <c r="P2043" i="1"/>
  <c r="Q2043" i="1"/>
  <c r="A2044" i="1"/>
  <c r="B2044" i="1"/>
  <c r="C2044" i="1"/>
  <c r="E2044" i="1"/>
  <c r="F2044" i="1"/>
  <c r="G2044" i="1"/>
  <c r="H2044" i="1"/>
  <c r="I2044" i="1"/>
  <c r="J2044" i="1"/>
  <c r="K2044" i="1"/>
  <c r="L2044" i="1"/>
  <c r="M2044" i="1"/>
  <c r="N2044" i="1"/>
  <c r="O2044" i="1"/>
  <c r="P2044" i="1"/>
  <c r="Q2044" i="1"/>
  <c r="A2045" i="1"/>
  <c r="B2045" i="1"/>
  <c r="C2045" i="1"/>
  <c r="E2045" i="1"/>
  <c r="F2045" i="1"/>
  <c r="G2045" i="1"/>
  <c r="H2045" i="1"/>
  <c r="I2045" i="1"/>
  <c r="J2045" i="1"/>
  <c r="K2045" i="1"/>
  <c r="L2045" i="1"/>
  <c r="M2045" i="1"/>
  <c r="N2045" i="1"/>
  <c r="O2045" i="1"/>
  <c r="P2045" i="1"/>
  <c r="Q2045" i="1"/>
  <c r="A2046" i="1"/>
  <c r="B2046" i="1"/>
  <c r="C2046" i="1"/>
  <c r="E2046" i="1"/>
  <c r="F2046" i="1"/>
  <c r="G2046" i="1"/>
  <c r="H2046" i="1"/>
  <c r="I2046" i="1"/>
  <c r="J2046" i="1"/>
  <c r="K2046" i="1"/>
  <c r="L2046" i="1"/>
  <c r="M2046" i="1"/>
  <c r="N2046" i="1"/>
  <c r="O2046" i="1"/>
  <c r="P2046" i="1"/>
  <c r="Q2046" i="1"/>
  <c r="A2047" i="1"/>
  <c r="B2047" i="1"/>
  <c r="C2047" i="1"/>
  <c r="E2047" i="1"/>
  <c r="F2047" i="1"/>
  <c r="G2047" i="1"/>
  <c r="H2047" i="1"/>
  <c r="I2047" i="1"/>
  <c r="J2047" i="1"/>
  <c r="K2047" i="1"/>
  <c r="L2047" i="1"/>
  <c r="M2047" i="1"/>
  <c r="N2047" i="1"/>
  <c r="O2047" i="1"/>
  <c r="P2047" i="1"/>
  <c r="Q2047" i="1"/>
  <c r="A2048" i="1"/>
  <c r="B2048" i="1"/>
  <c r="C2048" i="1"/>
  <c r="E2048" i="1"/>
  <c r="F2048" i="1"/>
  <c r="G2048" i="1"/>
  <c r="H2048" i="1"/>
  <c r="I2048" i="1"/>
  <c r="J2048" i="1"/>
  <c r="K2048" i="1"/>
  <c r="L2048" i="1"/>
  <c r="M2048" i="1"/>
  <c r="N2048" i="1"/>
  <c r="O2048" i="1"/>
  <c r="P2048" i="1"/>
  <c r="Q2048" i="1"/>
  <c r="A2049" i="1"/>
  <c r="B2049" i="1"/>
  <c r="C2049" i="1"/>
  <c r="E2049" i="1"/>
  <c r="F2049" i="1"/>
  <c r="G2049" i="1"/>
  <c r="H2049" i="1"/>
  <c r="I2049" i="1"/>
  <c r="J2049" i="1"/>
  <c r="K2049" i="1"/>
  <c r="L2049" i="1"/>
  <c r="M2049" i="1"/>
  <c r="N2049" i="1"/>
  <c r="O2049" i="1"/>
  <c r="P2049" i="1"/>
  <c r="Q2049" i="1"/>
  <c r="A2050" i="1"/>
  <c r="B2050" i="1"/>
  <c r="C2050" i="1"/>
  <c r="E2050" i="1"/>
  <c r="F2050" i="1"/>
  <c r="G2050" i="1"/>
  <c r="H2050" i="1"/>
  <c r="I2050" i="1"/>
  <c r="J2050" i="1"/>
  <c r="K2050" i="1"/>
  <c r="L2050" i="1"/>
  <c r="M2050" i="1"/>
  <c r="N2050" i="1"/>
  <c r="O2050" i="1"/>
  <c r="P2050" i="1"/>
  <c r="Q2050" i="1"/>
  <c r="A2051" i="1"/>
  <c r="B2051" i="1"/>
  <c r="C2051" i="1"/>
  <c r="D2051" i="1"/>
  <c r="E2051" i="1"/>
  <c r="F2051" i="1"/>
  <c r="G2051" i="1"/>
  <c r="H2051" i="1"/>
  <c r="I2051" i="1"/>
  <c r="J2051" i="1"/>
  <c r="K2051" i="1"/>
  <c r="L2051" i="1"/>
  <c r="M2051" i="1"/>
  <c r="N2051" i="1"/>
  <c r="O2051" i="1"/>
  <c r="P2051" i="1"/>
  <c r="Q2051" i="1"/>
  <c r="A2052" i="1"/>
  <c r="B2052" i="1"/>
  <c r="C2052" i="1"/>
  <c r="E2052" i="1"/>
  <c r="F2052" i="1"/>
  <c r="G2052" i="1"/>
  <c r="H2052" i="1"/>
  <c r="I2052" i="1"/>
  <c r="J2052" i="1"/>
  <c r="K2052" i="1"/>
  <c r="L2052" i="1"/>
  <c r="M2052" i="1"/>
  <c r="N2052" i="1"/>
  <c r="O2052" i="1"/>
  <c r="P2052" i="1"/>
  <c r="Q2052" i="1"/>
  <c r="A2053" i="1"/>
  <c r="B2053" i="1"/>
  <c r="C2053" i="1"/>
  <c r="E2053" i="1"/>
  <c r="F2053" i="1"/>
  <c r="G2053" i="1"/>
  <c r="H2053" i="1"/>
  <c r="I2053" i="1"/>
  <c r="J2053" i="1"/>
  <c r="K2053" i="1"/>
  <c r="L2053" i="1"/>
  <c r="M2053" i="1"/>
  <c r="N2053" i="1"/>
  <c r="O2053" i="1"/>
  <c r="P2053" i="1"/>
  <c r="Q2053" i="1"/>
  <c r="A2054" i="1"/>
  <c r="B2054" i="1"/>
  <c r="C2054" i="1"/>
  <c r="D2054" i="1"/>
  <c r="E2054" i="1"/>
  <c r="F2054" i="1"/>
  <c r="G2054" i="1"/>
  <c r="H2054" i="1"/>
  <c r="I2054" i="1"/>
  <c r="J2054" i="1"/>
  <c r="K2054" i="1"/>
  <c r="L2054" i="1"/>
  <c r="M2054" i="1"/>
  <c r="N2054" i="1"/>
  <c r="O2054" i="1"/>
  <c r="P2054" i="1"/>
  <c r="Q2054" i="1"/>
  <c r="A2055" i="1"/>
  <c r="B2055" i="1"/>
  <c r="C2055" i="1"/>
  <c r="E2055" i="1"/>
  <c r="F2055" i="1"/>
  <c r="G2055" i="1"/>
  <c r="H2055" i="1"/>
  <c r="I2055" i="1"/>
  <c r="J2055" i="1"/>
  <c r="K2055" i="1"/>
  <c r="L2055" i="1"/>
  <c r="M2055" i="1"/>
  <c r="N2055" i="1"/>
  <c r="O2055" i="1"/>
  <c r="P2055" i="1"/>
  <c r="Q2055" i="1"/>
  <c r="A2056" i="1"/>
  <c r="B2056" i="1"/>
  <c r="C2056" i="1"/>
  <c r="E2056" i="1"/>
  <c r="F2056" i="1"/>
  <c r="G2056" i="1"/>
  <c r="H2056" i="1"/>
  <c r="I2056" i="1"/>
  <c r="J2056" i="1"/>
  <c r="K2056" i="1"/>
  <c r="L2056" i="1"/>
  <c r="M2056" i="1"/>
  <c r="N2056" i="1"/>
  <c r="O2056" i="1"/>
  <c r="P2056" i="1"/>
  <c r="Q2056" i="1"/>
  <c r="A2057" i="1"/>
  <c r="B2057" i="1"/>
  <c r="C2057" i="1"/>
  <c r="E2057" i="1"/>
  <c r="F2057" i="1"/>
  <c r="G2057" i="1"/>
  <c r="H2057" i="1"/>
  <c r="I2057" i="1"/>
  <c r="J2057" i="1"/>
  <c r="K2057" i="1"/>
  <c r="L2057" i="1"/>
  <c r="M2057" i="1"/>
  <c r="N2057" i="1"/>
  <c r="O2057" i="1"/>
  <c r="P2057" i="1"/>
  <c r="Q2057" i="1"/>
  <c r="A2058" i="1"/>
  <c r="B2058" i="1"/>
  <c r="C2058" i="1"/>
  <c r="E2058" i="1"/>
  <c r="F2058" i="1"/>
  <c r="G2058" i="1"/>
  <c r="H2058" i="1"/>
  <c r="I2058" i="1"/>
  <c r="J2058" i="1"/>
  <c r="K2058" i="1"/>
  <c r="L2058" i="1"/>
  <c r="M2058" i="1"/>
  <c r="N2058" i="1"/>
  <c r="O2058" i="1"/>
  <c r="P2058" i="1"/>
  <c r="Q2058" i="1"/>
  <c r="A2059" i="1"/>
  <c r="B2059" i="1"/>
  <c r="C2059" i="1"/>
  <c r="E2059" i="1"/>
  <c r="F2059" i="1"/>
  <c r="G2059" i="1"/>
  <c r="H2059" i="1"/>
  <c r="I2059" i="1"/>
  <c r="J2059" i="1"/>
  <c r="K2059" i="1"/>
  <c r="L2059" i="1"/>
  <c r="M2059" i="1"/>
  <c r="N2059" i="1"/>
  <c r="O2059" i="1"/>
  <c r="P2059" i="1"/>
  <c r="Q2059" i="1"/>
  <c r="A2060" i="1"/>
  <c r="B2060" i="1"/>
  <c r="C2060" i="1"/>
  <c r="E2060" i="1"/>
  <c r="F2060" i="1"/>
  <c r="G2060" i="1"/>
  <c r="H2060" i="1"/>
  <c r="I2060" i="1"/>
  <c r="J2060" i="1"/>
  <c r="K2060" i="1"/>
  <c r="L2060" i="1"/>
  <c r="M2060" i="1"/>
  <c r="N2060" i="1"/>
  <c r="O2060" i="1"/>
  <c r="P2060" i="1"/>
  <c r="Q2060" i="1"/>
  <c r="A2061" i="1"/>
  <c r="B2061" i="1"/>
  <c r="C2061" i="1"/>
  <c r="E2061" i="1"/>
  <c r="F2061" i="1"/>
  <c r="G2061" i="1"/>
  <c r="H2061" i="1"/>
  <c r="I2061" i="1"/>
  <c r="J2061" i="1"/>
  <c r="K2061" i="1"/>
  <c r="L2061" i="1"/>
  <c r="M2061" i="1"/>
  <c r="N2061" i="1"/>
  <c r="O2061" i="1"/>
  <c r="P2061" i="1"/>
  <c r="Q2061" i="1"/>
  <c r="A2062" i="1"/>
  <c r="B2062" i="1"/>
  <c r="C2062" i="1"/>
  <c r="E2062" i="1"/>
  <c r="F2062" i="1"/>
  <c r="G2062" i="1"/>
  <c r="H2062" i="1"/>
  <c r="I2062" i="1"/>
  <c r="J2062" i="1"/>
  <c r="K2062" i="1"/>
  <c r="L2062" i="1"/>
  <c r="M2062" i="1"/>
  <c r="N2062" i="1"/>
  <c r="O2062" i="1"/>
  <c r="P2062" i="1"/>
  <c r="Q2062" i="1"/>
  <c r="A2063" i="1"/>
  <c r="B2063" i="1"/>
  <c r="C2063" i="1"/>
  <c r="E2063" i="1"/>
  <c r="F2063" i="1"/>
  <c r="G2063" i="1"/>
  <c r="H2063" i="1"/>
  <c r="I2063" i="1"/>
  <c r="J2063" i="1"/>
  <c r="K2063" i="1"/>
  <c r="L2063" i="1"/>
  <c r="M2063" i="1"/>
  <c r="N2063" i="1"/>
  <c r="O2063" i="1"/>
  <c r="P2063" i="1"/>
  <c r="Q2063" i="1"/>
  <c r="A2064" i="1"/>
  <c r="B2064" i="1"/>
  <c r="C2064" i="1"/>
  <c r="E2064" i="1"/>
  <c r="F2064" i="1"/>
  <c r="G2064" i="1"/>
  <c r="H2064" i="1"/>
  <c r="I2064" i="1"/>
  <c r="J2064" i="1"/>
  <c r="K2064" i="1"/>
  <c r="L2064" i="1"/>
  <c r="M2064" i="1"/>
  <c r="N2064" i="1"/>
  <c r="O2064" i="1"/>
  <c r="P2064" i="1"/>
  <c r="Q2064" i="1"/>
  <c r="A2065" i="1"/>
  <c r="B2065" i="1"/>
  <c r="C2065" i="1"/>
  <c r="E2065" i="1"/>
  <c r="F2065" i="1"/>
  <c r="G2065" i="1"/>
  <c r="H2065" i="1"/>
  <c r="I2065" i="1"/>
  <c r="J2065" i="1"/>
  <c r="K2065" i="1"/>
  <c r="L2065" i="1"/>
  <c r="M2065" i="1"/>
  <c r="N2065" i="1"/>
  <c r="O2065" i="1"/>
  <c r="P2065" i="1"/>
  <c r="Q2065" i="1"/>
  <c r="A2066" i="1"/>
  <c r="B2066" i="1"/>
  <c r="C2066" i="1"/>
  <c r="E2066" i="1"/>
  <c r="F2066" i="1"/>
  <c r="G2066" i="1"/>
  <c r="H2066" i="1"/>
  <c r="I2066" i="1"/>
  <c r="J2066" i="1"/>
  <c r="K2066" i="1"/>
  <c r="L2066" i="1"/>
  <c r="M2066" i="1"/>
  <c r="N2066" i="1"/>
  <c r="O2066" i="1"/>
  <c r="P2066" i="1"/>
  <c r="Q2066" i="1"/>
  <c r="A2067" i="1"/>
  <c r="B2067" i="1"/>
  <c r="C2067" i="1"/>
  <c r="E2067" i="1"/>
  <c r="F2067" i="1"/>
  <c r="G2067" i="1"/>
  <c r="H2067" i="1"/>
  <c r="I2067" i="1"/>
  <c r="J2067" i="1"/>
  <c r="K2067" i="1"/>
  <c r="L2067" i="1"/>
  <c r="M2067" i="1"/>
  <c r="N2067" i="1"/>
  <c r="O2067" i="1"/>
  <c r="P2067" i="1"/>
  <c r="Q2067" i="1"/>
  <c r="A2068" i="1"/>
  <c r="B2068" i="1"/>
  <c r="C2068" i="1"/>
  <c r="D2068" i="1"/>
  <c r="E2068" i="1"/>
  <c r="F2068" i="1"/>
  <c r="G2068" i="1"/>
  <c r="H2068" i="1"/>
  <c r="I2068" i="1"/>
  <c r="J2068" i="1"/>
  <c r="K2068" i="1"/>
  <c r="L2068" i="1"/>
  <c r="M2068" i="1"/>
  <c r="N2068" i="1"/>
  <c r="O2068" i="1"/>
  <c r="P2068" i="1"/>
  <c r="Q2068" i="1"/>
  <c r="A2069" i="1"/>
  <c r="B2069" i="1"/>
  <c r="C2069" i="1"/>
  <c r="E2069" i="1"/>
  <c r="F2069" i="1"/>
  <c r="G2069" i="1"/>
  <c r="H2069" i="1"/>
  <c r="I2069" i="1"/>
  <c r="J2069" i="1"/>
  <c r="K2069" i="1"/>
  <c r="L2069" i="1"/>
  <c r="M2069" i="1"/>
  <c r="N2069" i="1"/>
  <c r="O2069" i="1"/>
  <c r="P2069" i="1"/>
  <c r="Q2069" i="1"/>
  <c r="A2070" i="1"/>
  <c r="B2070" i="1"/>
  <c r="C2070" i="1"/>
  <c r="E2070" i="1"/>
  <c r="F2070" i="1"/>
  <c r="G2070" i="1"/>
  <c r="H2070" i="1"/>
  <c r="I2070" i="1"/>
  <c r="J2070" i="1"/>
  <c r="K2070" i="1"/>
  <c r="L2070" i="1"/>
  <c r="M2070" i="1"/>
  <c r="N2070" i="1"/>
  <c r="O2070" i="1"/>
  <c r="P2070" i="1"/>
  <c r="Q2070" i="1"/>
  <c r="A2071" i="1"/>
  <c r="B2071" i="1"/>
  <c r="C2071" i="1"/>
  <c r="D2071" i="1"/>
  <c r="E2071" i="1"/>
  <c r="F2071" i="1"/>
  <c r="G2071" i="1"/>
  <c r="H2071" i="1"/>
  <c r="I2071" i="1"/>
  <c r="J2071" i="1"/>
  <c r="K2071" i="1"/>
  <c r="L2071" i="1"/>
  <c r="M2071" i="1"/>
  <c r="N2071" i="1"/>
  <c r="O2071" i="1"/>
  <c r="P2071" i="1"/>
  <c r="Q2071" i="1"/>
  <c r="A2072" i="1"/>
  <c r="B2072" i="1"/>
  <c r="C2072" i="1"/>
  <c r="D2072" i="1"/>
  <c r="E2072" i="1"/>
  <c r="F2072" i="1"/>
  <c r="G2072" i="1"/>
  <c r="H2072" i="1"/>
  <c r="I2072" i="1"/>
  <c r="J2072" i="1"/>
  <c r="K2072" i="1"/>
  <c r="L2072" i="1"/>
  <c r="M2072" i="1"/>
  <c r="N2072" i="1"/>
  <c r="O2072" i="1"/>
  <c r="P2072" i="1"/>
  <c r="Q2072" i="1"/>
  <c r="A2073" i="1"/>
  <c r="B2073" i="1"/>
  <c r="C2073" i="1"/>
  <c r="E2073" i="1"/>
  <c r="F2073" i="1"/>
  <c r="G2073" i="1"/>
  <c r="H2073" i="1"/>
  <c r="I2073" i="1"/>
  <c r="J2073" i="1"/>
  <c r="K2073" i="1"/>
  <c r="L2073" i="1"/>
  <c r="M2073" i="1"/>
  <c r="N2073" i="1"/>
  <c r="O2073" i="1"/>
  <c r="P2073" i="1"/>
  <c r="Q2073" i="1"/>
  <c r="A2074" i="1"/>
  <c r="B2074" i="1"/>
  <c r="C2074" i="1"/>
  <c r="E2074" i="1"/>
  <c r="F2074" i="1"/>
  <c r="G2074" i="1"/>
  <c r="H2074" i="1"/>
  <c r="I2074" i="1"/>
  <c r="J2074" i="1"/>
  <c r="K2074" i="1"/>
  <c r="L2074" i="1"/>
  <c r="M2074" i="1"/>
  <c r="N2074" i="1"/>
  <c r="O2074" i="1"/>
  <c r="P2074" i="1"/>
  <c r="Q2074" i="1"/>
  <c r="A2075" i="1"/>
  <c r="B2075" i="1"/>
  <c r="C2075" i="1"/>
  <c r="D2075" i="1"/>
  <c r="E2075" i="1"/>
  <c r="F2075" i="1"/>
  <c r="G2075" i="1"/>
  <c r="H2075" i="1"/>
  <c r="I2075" i="1"/>
  <c r="J2075" i="1"/>
  <c r="K2075" i="1"/>
  <c r="L2075" i="1"/>
  <c r="M2075" i="1"/>
  <c r="N2075" i="1"/>
  <c r="O2075" i="1"/>
  <c r="P2075" i="1"/>
  <c r="Q2075" i="1"/>
  <c r="A2076" i="1"/>
  <c r="B2076" i="1"/>
  <c r="C2076" i="1"/>
  <c r="E2076" i="1"/>
  <c r="F2076" i="1"/>
  <c r="G2076" i="1"/>
  <c r="H2076" i="1"/>
  <c r="I2076" i="1"/>
  <c r="J2076" i="1"/>
  <c r="K2076" i="1"/>
  <c r="L2076" i="1"/>
  <c r="M2076" i="1"/>
  <c r="N2076" i="1"/>
  <c r="O2076" i="1"/>
  <c r="P2076" i="1"/>
  <c r="Q2076" i="1"/>
  <c r="A2077" i="1"/>
  <c r="B2077" i="1"/>
  <c r="C2077" i="1"/>
  <c r="D2077" i="1"/>
  <c r="E2077" i="1"/>
  <c r="F2077" i="1"/>
  <c r="G2077" i="1"/>
  <c r="H2077" i="1"/>
  <c r="I2077" i="1"/>
  <c r="J2077" i="1"/>
  <c r="K2077" i="1"/>
  <c r="L2077" i="1"/>
  <c r="M2077" i="1"/>
  <c r="N2077" i="1"/>
  <c r="O2077" i="1"/>
  <c r="P2077" i="1"/>
  <c r="Q2077" i="1"/>
  <c r="A2078" i="1"/>
  <c r="B2078" i="1"/>
  <c r="C2078" i="1"/>
  <c r="D2078" i="1"/>
  <c r="E2078" i="1"/>
  <c r="F2078" i="1"/>
  <c r="G2078" i="1"/>
  <c r="H2078" i="1"/>
  <c r="I2078" i="1"/>
  <c r="J2078" i="1"/>
  <c r="K2078" i="1"/>
  <c r="L2078" i="1"/>
  <c r="M2078" i="1"/>
  <c r="N2078" i="1"/>
  <c r="O2078" i="1"/>
  <c r="P2078" i="1"/>
  <c r="Q2078" i="1"/>
  <c r="A2079" i="1"/>
  <c r="B2079" i="1"/>
  <c r="C2079" i="1"/>
  <c r="D2079" i="1"/>
  <c r="E2079" i="1"/>
  <c r="F2079" i="1"/>
  <c r="G2079" i="1"/>
  <c r="H2079" i="1"/>
  <c r="I2079" i="1"/>
  <c r="J2079" i="1"/>
  <c r="K2079" i="1"/>
  <c r="L2079" i="1"/>
  <c r="M2079" i="1"/>
  <c r="N2079" i="1"/>
  <c r="O2079" i="1"/>
  <c r="P2079" i="1"/>
  <c r="Q2079" i="1"/>
  <c r="A2080" i="1"/>
  <c r="B2080" i="1"/>
  <c r="C2080" i="1"/>
  <c r="D2080" i="1"/>
  <c r="E2080" i="1"/>
  <c r="F2080" i="1"/>
  <c r="G2080" i="1"/>
  <c r="H2080" i="1"/>
  <c r="I2080" i="1"/>
  <c r="J2080" i="1"/>
  <c r="K2080" i="1"/>
  <c r="L2080" i="1"/>
  <c r="M2080" i="1"/>
  <c r="N2080" i="1"/>
  <c r="O2080" i="1"/>
  <c r="P2080" i="1"/>
  <c r="Q2080" i="1"/>
  <c r="A2081" i="1"/>
  <c r="B2081" i="1"/>
  <c r="C2081" i="1"/>
  <c r="D2081" i="1"/>
  <c r="E2081" i="1"/>
  <c r="F2081" i="1"/>
  <c r="G2081" i="1"/>
  <c r="H2081" i="1"/>
  <c r="I2081" i="1"/>
  <c r="J2081" i="1"/>
  <c r="K2081" i="1"/>
  <c r="L2081" i="1"/>
  <c r="M2081" i="1"/>
  <c r="N2081" i="1"/>
  <c r="O2081" i="1"/>
  <c r="P2081" i="1"/>
  <c r="Q2081" i="1"/>
  <c r="A2082" i="1"/>
  <c r="B2082" i="1"/>
  <c r="C2082" i="1"/>
  <c r="D2082" i="1"/>
  <c r="E2082" i="1"/>
  <c r="F2082" i="1"/>
  <c r="G2082" i="1"/>
  <c r="H2082" i="1"/>
  <c r="I2082" i="1"/>
  <c r="J2082" i="1"/>
  <c r="K2082" i="1"/>
  <c r="L2082" i="1"/>
  <c r="M2082" i="1"/>
  <c r="N2082" i="1"/>
  <c r="O2082" i="1"/>
  <c r="P2082" i="1"/>
  <c r="Q2082" i="1"/>
  <c r="A2083" i="1"/>
  <c r="B2083" i="1"/>
  <c r="C2083" i="1"/>
  <c r="D2083" i="1"/>
  <c r="E2083" i="1"/>
  <c r="F2083" i="1"/>
  <c r="G2083" i="1"/>
  <c r="H2083" i="1"/>
  <c r="I2083" i="1"/>
  <c r="J2083" i="1"/>
  <c r="K2083" i="1"/>
  <c r="L2083" i="1"/>
  <c r="M2083" i="1"/>
  <c r="N2083" i="1"/>
  <c r="O2083" i="1"/>
  <c r="P2083" i="1"/>
  <c r="Q2083" i="1"/>
  <c r="A2084" i="1"/>
  <c r="B2084" i="1"/>
  <c r="C2084" i="1"/>
  <c r="D2084" i="1"/>
  <c r="E2084" i="1"/>
  <c r="F2084" i="1"/>
  <c r="G2084" i="1"/>
  <c r="H2084" i="1"/>
  <c r="I2084" i="1"/>
  <c r="J2084" i="1"/>
  <c r="K2084" i="1"/>
  <c r="L2084" i="1"/>
  <c r="M2084" i="1"/>
  <c r="N2084" i="1"/>
  <c r="O2084" i="1"/>
  <c r="P2084" i="1"/>
  <c r="Q2084" i="1"/>
  <c r="A2085" i="1"/>
  <c r="B2085" i="1"/>
  <c r="C2085" i="1"/>
  <c r="D2085" i="1"/>
  <c r="E2085" i="1"/>
  <c r="F2085" i="1"/>
  <c r="G2085" i="1"/>
  <c r="H2085" i="1"/>
  <c r="I2085" i="1"/>
  <c r="J2085" i="1"/>
  <c r="K2085" i="1"/>
  <c r="L2085" i="1"/>
  <c r="M2085" i="1"/>
  <c r="N2085" i="1"/>
  <c r="O2085" i="1"/>
  <c r="P2085" i="1"/>
  <c r="Q2085" i="1"/>
  <c r="A2086" i="1"/>
  <c r="B2086" i="1"/>
  <c r="C2086" i="1"/>
  <c r="E2086" i="1"/>
  <c r="F2086" i="1"/>
  <c r="G2086" i="1"/>
  <c r="H2086" i="1"/>
  <c r="I2086" i="1"/>
  <c r="J2086" i="1"/>
  <c r="K2086" i="1"/>
  <c r="L2086" i="1"/>
  <c r="M2086" i="1"/>
  <c r="N2086" i="1"/>
  <c r="O2086" i="1"/>
  <c r="P2086" i="1"/>
  <c r="Q2086" i="1"/>
  <c r="A2087" i="1"/>
  <c r="B2087" i="1"/>
  <c r="C2087" i="1"/>
  <c r="D2087" i="1"/>
  <c r="E2087" i="1"/>
  <c r="F2087" i="1"/>
  <c r="G2087" i="1"/>
  <c r="H2087" i="1"/>
  <c r="I2087" i="1"/>
  <c r="J2087" i="1"/>
  <c r="K2087" i="1"/>
  <c r="L2087" i="1"/>
  <c r="M2087" i="1"/>
  <c r="N2087" i="1"/>
  <c r="O2087" i="1"/>
  <c r="P2087" i="1"/>
  <c r="Q2087" i="1"/>
  <c r="A2088" i="1"/>
  <c r="B2088" i="1"/>
  <c r="C2088" i="1"/>
  <c r="E2088" i="1"/>
  <c r="F2088" i="1"/>
  <c r="G2088" i="1"/>
  <c r="H2088" i="1"/>
  <c r="I2088" i="1"/>
  <c r="J2088" i="1"/>
  <c r="K2088" i="1"/>
  <c r="L2088" i="1"/>
  <c r="M2088" i="1"/>
  <c r="N2088" i="1"/>
  <c r="O2088" i="1"/>
  <c r="P2088" i="1"/>
  <c r="Q2088" i="1"/>
  <c r="A2089" i="1"/>
  <c r="B2089" i="1"/>
  <c r="C2089" i="1"/>
  <c r="D2089" i="1"/>
  <c r="E2089" i="1"/>
  <c r="F2089" i="1"/>
  <c r="G2089" i="1"/>
  <c r="H2089" i="1"/>
  <c r="I2089" i="1"/>
  <c r="J2089" i="1"/>
  <c r="K2089" i="1"/>
  <c r="L2089" i="1"/>
  <c r="M2089" i="1"/>
  <c r="N2089" i="1"/>
  <c r="O2089" i="1"/>
  <c r="P2089" i="1"/>
  <c r="Q2089" i="1"/>
  <c r="A2090" i="1"/>
  <c r="B2090" i="1"/>
  <c r="C2090" i="1"/>
  <c r="E2090" i="1"/>
  <c r="F2090" i="1"/>
  <c r="G2090" i="1"/>
  <c r="H2090" i="1"/>
  <c r="I2090" i="1"/>
  <c r="J2090" i="1"/>
  <c r="K2090" i="1"/>
  <c r="L2090" i="1"/>
  <c r="M2090" i="1"/>
  <c r="N2090" i="1"/>
  <c r="O2090" i="1"/>
  <c r="P2090" i="1"/>
  <c r="Q2090" i="1"/>
  <c r="A2091" i="1"/>
  <c r="B2091" i="1"/>
  <c r="C2091" i="1"/>
  <c r="E2091" i="1"/>
  <c r="F2091" i="1"/>
  <c r="G2091" i="1"/>
  <c r="H2091" i="1"/>
  <c r="I2091" i="1"/>
  <c r="J2091" i="1"/>
  <c r="K2091" i="1"/>
  <c r="L2091" i="1"/>
  <c r="M2091" i="1"/>
  <c r="N2091" i="1"/>
  <c r="O2091" i="1"/>
  <c r="P2091" i="1"/>
  <c r="Q2091" i="1"/>
  <c r="A2092" i="1"/>
  <c r="B2092" i="1"/>
  <c r="C2092" i="1"/>
  <c r="D2092" i="1"/>
  <c r="E2092" i="1"/>
  <c r="F2092" i="1"/>
  <c r="G2092" i="1"/>
  <c r="H2092" i="1"/>
  <c r="I2092" i="1"/>
  <c r="J2092" i="1"/>
  <c r="K2092" i="1"/>
  <c r="L2092" i="1"/>
  <c r="M2092" i="1"/>
  <c r="N2092" i="1"/>
  <c r="O2092" i="1"/>
  <c r="P2092" i="1"/>
  <c r="Q2092" i="1"/>
  <c r="A2093" i="1"/>
  <c r="B2093" i="1"/>
  <c r="C2093" i="1"/>
  <c r="D2093" i="1"/>
  <c r="E2093" i="1"/>
  <c r="F2093" i="1"/>
  <c r="G2093" i="1"/>
  <c r="H2093" i="1"/>
  <c r="I2093" i="1"/>
  <c r="J2093" i="1"/>
  <c r="K2093" i="1"/>
  <c r="L2093" i="1"/>
  <c r="M2093" i="1"/>
  <c r="N2093" i="1"/>
  <c r="O2093" i="1"/>
  <c r="P2093" i="1"/>
  <c r="Q2093" i="1"/>
  <c r="A2094" i="1"/>
  <c r="B2094" i="1"/>
  <c r="C2094" i="1"/>
  <c r="E2094" i="1"/>
  <c r="F2094" i="1"/>
  <c r="G2094" i="1"/>
  <c r="H2094" i="1"/>
  <c r="I2094" i="1"/>
  <c r="J2094" i="1"/>
  <c r="K2094" i="1"/>
  <c r="L2094" i="1"/>
  <c r="M2094" i="1"/>
  <c r="N2094" i="1"/>
  <c r="O2094" i="1"/>
  <c r="P2094" i="1"/>
  <c r="Q2094" i="1"/>
  <c r="A2095" i="1"/>
  <c r="B2095" i="1"/>
  <c r="C2095" i="1"/>
  <c r="D2095" i="1"/>
  <c r="E2095" i="1"/>
  <c r="F2095" i="1"/>
  <c r="G2095" i="1"/>
  <c r="H2095" i="1"/>
  <c r="I2095" i="1"/>
  <c r="J2095" i="1"/>
  <c r="K2095" i="1"/>
  <c r="L2095" i="1"/>
  <c r="M2095" i="1"/>
  <c r="N2095" i="1"/>
  <c r="O2095" i="1"/>
  <c r="P2095" i="1"/>
  <c r="Q2095" i="1"/>
  <c r="A2096" i="1"/>
  <c r="B2096" i="1"/>
  <c r="C2096" i="1"/>
  <c r="D2096" i="1"/>
  <c r="E2096" i="1"/>
  <c r="F2096" i="1"/>
  <c r="G2096" i="1"/>
  <c r="H2096" i="1"/>
  <c r="I2096" i="1"/>
  <c r="J2096" i="1"/>
  <c r="K2096" i="1"/>
  <c r="L2096" i="1"/>
  <c r="M2096" i="1"/>
  <c r="N2096" i="1"/>
  <c r="O2096" i="1"/>
  <c r="P2096" i="1"/>
  <c r="Q2096" i="1"/>
  <c r="A2097" i="1"/>
  <c r="B2097" i="1"/>
  <c r="C2097" i="1"/>
  <c r="D2097" i="1"/>
  <c r="E2097" i="1"/>
  <c r="F2097" i="1"/>
  <c r="G2097" i="1"/>
  <c r="H2097" i="1"/>
  <c r="I2097" i="1"/>
  <c r="J2097" i="1"/>
  <c r="K2097" i="1"/>
  <c r="L2097" i="1"/>
  <c r="M2097" i="1"/>
  <c r="N2097" i="1"/>
  <c r="O2097" i="1"/>
  <c r="P2097" i="1"/>
  <c r="Q2097" i="1"/>
  <c r="A2098" i="1"/>
  <c r="B2098" i="1"/>
  <c r="C2098" i="1"/>
  <c r="E2098" i="1"/>
  <c r="F2098" i="1"/>
  <c r="G2098" i="1"/>
  <c r="H2098" i="1"/>
  <c r="I2098" i="1"/>
  <c r="J2098" i="1"/>
  <c r="K2098" i="1"/>
  <c r="L2098" i="1"/>
  <c r="M2098" i="1"/>
  <c r="N2098" i="1"/>
  <c r="O2098" i="1"/>
  <c r="P2098" i="1"/>
  <c r="Q2098" i="1"/>
  <c r="A2099" i="1"/>
  <c r="B2099" i="1"/>
  <c r="C2099" i="1"/>
  <c r="E2099" i="1"/>
  <c r="F2099" i="1"/>
  <c r="G2099" i="1"/>
  <c r="H2099" i="1"/>
  <c r="I2099" i="1"/>
  <c r="J2099" i="1"/>
  <c r="K2099" i="1"/>
  <c r="L2099" i="1"/>
  <c r="M2099" i="1"/>
  <c r="N2099" i="1"/>
  <c r="O2099" i="1"/>
  <c r="P2099" i="1"/>
  <c r="Q2099" i="1"/>
  <c r="A2100" i="1"/>
  <c r="B2100" i="1"/>
  <c r="C2100" i="1"/>
  <c r="D2100" i="1"/>
  <c r="E2100" i="1"/>
  <c r="F2100" i="1"/>
  <c r="G2100" i="1"/>
  <c r="H2100" i="1"/>
  <c r="I2100" i="1"/>
  <c r="J2100" i="1"/>
  <c r="K2100" i="1"/>
  <c r="L2100" i="1"/>
  <c r="M2100" i="1"/>
  <c r="N2100" i="1"/>
  <c r="O2100" i="1"/>
  <c r="P2100" i="1"/>
  <c r="Q2100" i="1"/>
  <c r="A2101" i="1"/>
  <c r="B2101" i="1"/>
  <c r="C2101" i="1"/>
  <c r="E2101" i="1"/>
  <c r="F2101" i="1"/>
  <c r="G2101" i="1"/>
  <c r="H2101" i="1"/>
  <c r="I2101" i="1"/>
  <c r="J2101" i="1"/>
  <c r="K2101" i="1"/>
  <c r="L2101" i="1"/>
  <c r="M2101" i="1"/>
  <c r="N2101" i="1"/>
  <c r="O2101" i="1"/>
  <c r="P2101" i="1"/>
  <c r="Q2101" i="1"/>
  <c r="A2102" i="1"/>
  <c r="B2102" i="1"/>
  <c r="C2102" i="1"/>
  <c r="E2102" i="1"/>
  <c r="F2102" i="1"/>
  <c r="G2102" i="1"/>
  <c r="H2102" i="1"/>
  <c r="I2102" i="1"/>
  <c r="J2102" i="1"/>
  <c r="K2102" i="1"/>
  <c r="L2102" i="1"/>
  <c r="M2102" i="1"/>
  <c r="N2102" i="1"/>
  <c r="O2102" i="1"/>
  <c r="P2102" i="1"/>
  <c r="Q2102" i="1"/>
  <c r="A2103" i="1"/>
  <c r="B2103" i="1"/>
  <c r="C2103" i="1"/>
  <c r="D2103" i="1"/>
  <c r="E2103" i="1"/>
  <c r="F2103" i="1"/>
  <c r="G2103" i="1"/>
  <c r="H2103" i="1"/>
  <c r="I2103" i="1"/>
  <c r="J2103" i="1"/>
  <c r="K2103" i="1"/>
  <c r="L2103" i="1"/>
  <c r="M2103" i="1"/>
  <c r="N2103" i="1"/>
  <c r="O2103" i="1"/>
  <c r="P2103" i="1"/>
  <c r="Q2103" i="1"/>
  <c r="A2104" i="1"/>
  <c r="B2104" i="1"/>
  <c r="C2104" i="1"/>
  <c r="D2104" i="1"/>
  <c r="E2104" i="1"/>
  <c r="F2104" i="1"/>
  <c r="G2104" i="1"/>
  <c r="H2104" i="1"/>
  <c r="I2104" i="1"/>
  <c r="J2104" i="1"/>
  <c r="K2104" i="1"/>
  <c r="L2104" i="1"/>
  <c r="M2104" i="1"/>
  <c r="N2104" i="1"/>
  <c r="O2104" i="1"/>
  <c r="P2104" i="1"/>
  <c r="Q2104" i="1"/>
  <c r="A2105" i="1"/>
  <c r="B2105" i="1"/>
  <c r="C2105" i="1"/>
  <c r="D2105" i="1"/>
  <c r="E2105" i="1"/>
  <c r="F2105" i="1"/>
  <c r="G2105" i="1"/>
  <c r="H2105" i="1"/>
  <c r="I2105" i="1"/>
  <c r="J2105" i="1"/>
  <c r="K2105" i="1"/>
  <c r="L2105" i="1"/>
  <c r="M2105" i="1"/>
  <c r="N2105" i="1"/>
  <c r="O2105" i="1"/>
  <c r="P2105" i="1"/>
  <c r="Q2105" i="1"/>
  <c r="A2106" i="1"/>
  <c r="B2106" i="1"/>
  <c r="C2106" i="1"/>
  <c r="E2106" i="1"/>
  <c r="F2106" i="1"/>
  <c r="G2106" i="1"/>
  <c r="H2106" i="1"/>
  <c r="I2106" i="1"/>
  <c r="J2106" i="1"/>
  <c r="K2106" i="1"/>
  <c r="L2106" i="1"/>
  <c r="M2106" i="1"/>
  <c r="N2106" i="1"/>
  <c r="O2106" i="1"/>
  <c r="P2106" i="1"/>
  <c r="Q2106" i="1"/>
  <c r="A2107" i="1"/>
  <c r="B2107" i="1"/>
  <c r="C2107" i="1"/>
  <c r="E2107" i="1"/>
  <c r="F2107" i="1"/>
  <c r="G2107" i="1"/>
  <c r="H2107" i="1"/>
  <c r="I2107" i="1"/>
  <c r="J2107" i="1"/>
  <c r="K2107" i="1"/>
  <c r="L2107" i="1"/>
  <c r="M2107" i="1"/>
  <c r="N2107" i="1"/>
  <c r="O2107" i="1"/>
  <c r="P2107" i="1"/>
  <c r="Q2107" i="1"/>
  <c r="A2108" i="1"/>
  <c r="B2108" i="1"/>
  <c r="C2108" i="1"/>
  <c r="E2108" i="1"/>
  <c r="F2108" i="1"/>
  <c r="G2108" i="1"/>
  <c r="H2108" i="1"/>
  <c r="I2108" i="1"/>
  <c r="J2108" i="1"/>
  <c r="K2108" i="1"/>
  <c r="L2108" i="1"/>
  <c r="M2108" i="1"/>
  <c r="N2108" i="1"/>
  <c r="O2108" i="1"/>
  <c r="P2108" i="1"/>
  <c r="Q2108" i="1"/>
  <c r="A2109" i="1"/>
  <c r="B2109" i="1"/>
  <c r="C2109" i="1"/>
  <c r="E2109" i="1"/>
  <c r="F2109" i="1"/>
  <c r="G2109" i="1"/>
  <c r="H2109" i="1"/>
  <c r="I2109" i="1"/>
  <c r="J2109" i="1"/>
  <c r="K2109" i="1"/>
  <c r="L2109" i="1"/>
  <c r="M2109" i="1"/>
  <c r="N2109" i="1"/>
  <c r="O2109" i="1"/>
  <c r="P2109" i="1"/>
  <c r="Q2109" i="1"/>
  <c r="A2110" i="1"/>
  <c r="B2110" i="1"/>
  <c r="C2110" i="1"/>
  <c r="D2110" i="1"/>
  <c r="E2110" i="1"/>
  <c r="F2110" i="1"/>
  <c r="G2110" i="1"/>
  <c r="H2110" i="1"/>
  <c r="I2110" i="1"/>
  <c r="J2110" i="1"/>
  <c r="K2110" i="1"/>
  <c r="L2110" i="1"/>
  <c r="M2110" i="1"/>
  <c r="N2110" i="1"/>
  <c r="O2110" i="1"/>
  <c r="P2110" i="1"/>
  <c r="Q2110" i="1"/>
  <c r="A2111" i="1"/>
  <c r="B2111" i="1"/>
  <c r="C2111" i="1"/>
  <c r="D2111" i="1"/>
  <c r="E2111" i="1"/>
  <c r="F2111" i="1"/>
  <c r="G2111" i="1"/>
  <c r="H2111" i="1"/>
  <c r="I2111" i="1"/>
  <c r="J2111" i="1"/>
  <c r="K2111" i="1"/>
  <c r="L2111" i="1"/>
  <c r="M2111" i="1"/>
  <c r="N2111" i="1"/>
  <c r="O2111" i="1"/>
  <c r="P2111" i="1"/>
  <c r="Q2111" i="1"/>
  <c r="A2112" i="1"/>
  <c r="B2112" i="1"/>
  <c r="C2112" i="1"/>
  <c r="D2112" i="1"/>
  <c r="E2112" i="1"/>
  <c r="F2112" i="1"/>
  <c r="G2112" i="1"/>
  <c r="H2112" i="1"/>
  <c r="I2112" i="1"/>
  <c r="J2112" i="1"/>
  <c r="K2112" i="1"/>
  <c r="L2112" i="1"/>
  <c r="M2112" i="1"/>
  <c r="N2112" i="1"/>
  <c r="O2112" i="1"/>
  <c r="P2112" i="1"/>
  <c r="Q2112" i="1"/>
  <c r="A2113" i="1"/>
  <c r="B2113" i="1"/>
  <c r="C2113" i="1"/>
  <c r="E2113" i="1"/>
  <c r="F2113" i="1"/>
  <c r="G2113" i="1"/>
  <c r="H2113" i="1"/>
  <c r="I2113" i="1"/>
  <c r="J2113" i="1"/>
  <c r="K2113" i="1"/>
  <c r="L2113" i="1"/>
  <c r="M2113" i="1"/>
  <c r="N2113" i="1"/>
  <c r="O2113" i="1"/>
  <c r="P2113" i="1"/>
  <c r="Q2113" i="1"/>
  <c r="A2114" i="1"/>
  <c r="B2114" i="1"/>
  <c r="C2114" i="1"/>
  <c r="D2114" i="1"/>
  <c r="E2114" i="1"/>
  <c r="F2114" i="1"/>
  <c r="G2114" i="1"/>
  <c r="H2114" i="1"/>
  <c r="I2114" i="1"/>
  <c r="J2114" i="1"/>
  <c r="K2114" i="1"/>
  <c r="L2114" i="1"/>
  <c r="M2114" i="1"/>
  <c r="N2114" i="1"/>
  <c r="O2114" i="1"/>
  <c r="P2114" i="1"/>
  <c r="Q2114" i="1"/>
  <c r="A2115" i="1"/>
  <c r="B2115" i="1"/>
  <c r="C2115" i="1"/>
  <c r="E2115" i="1"/>
  <c r="F2115" i="1"/>
  <c r="G2115" i="1"/>
  <c r="H2115" i="1"/>
  <c r="I2115" i="1"/>
  <c r="J2115" i="1"/>
  <c r="K2115" i="1"/>
  <c r="L2115" i="1"/>
  <c r="M2115" i="1"/>
  <c r="N2115" i="1"/>
  <c r="O2115" i="1"/>
  <c r="P2115" i="1"/>
  <c r="Q2115" i="1"/>
  <c r="A2116" i="1"/>
  <c r="B2116" i="1"/>
  <c r="C2116" i="1"/>
  <c r="E2116" i="1"/>
  <c r="F2116" i="1"/>
  <c r="G2116" i="1"/>
  <c r="H2116" i="1"/>
  <c r="I2116" i="1"/>
  <c r="J2116" i="1"/>
  <c r="K2116" i="1"/>
  <c r="L2116" i="1"/>
  <c r="M2116" i="1"/>
  <c r="N2116" i="1"/>
  <c r="O2116" i="1"/>
  <c r="P2116" i="1"/>
  <c r="Q2116" i="1"/>
  <c r="A2117" i="1"/>
  <c r="B2117" i="1"/>
  <c r="C2117" i="1"/>
  <c r="D2117" i="1"/>
  <c r="E2117" i="1"/>
  <c r="F2117" i="1"/>
  <c r="G2117" i="1"/>
  <c r="H2117" i="1"/>
  <c r="I2117" i="1"/>
  <c r="J2117" i="1"/>
  <c r="K2117" i="1"/>
  <c r="L2117" i="1"/>
  <c r="M2117" i="1"/>
  <c r="N2117" i="1"/>
  <c r="O2117" i="1"/>
  <c r="P2117" i="1"/>
  <c r="Q2117" i="1"/>
  <c r="A2118" i="1"/>
  <c r="B2118" i="1"/>
  <c r="C2118" i="1"/>
  <c r="D2118" i="1"/>
  <c r="E2118" i="1"/>
  <c r="F2118" i="1"/>
  <c r="G2118" i="1"/>
  <c r="H2118" i="1"/>
  <c r="I2118" i="1"/>
  <c r="J2118" i="1"/>
  <c r="K2118" i="1"/>
  <c r="L2118" i="1"/>
  <c r="M2118" i="1"/>
  <c r="N2118" i="1"/>
  <c r="O2118" i="1"/>
  <c r="P2118" i="1"/>
  <c r="Q2118" i="1"/>
  <c r="A2119" i="1"/>
  <c r="B2119" i="1"/>
  <c r="C2119" i="1"/>
  <c r="E2119" i="1"/>
  <c r="F2119" i="1"/>
  <c r="G2119" i="1"/>
  <c r="H2119" i="1"/>
  <c r="I2119" i="1"/>
  <c r="J2119" i="1"/>
  <c r="K2119" i="1"/>
  <c r="L2119" i="1"/>
  <c r="M2119" i="1"/>
  <c r="N2119" i="1"/>
  <c r="O2119" i="1"/>
  <c r="P2119" i="1"/>
  <c r="Q2119" i="1"/>
  <c r="A2120" i="1"/>
  <c r="B2120" i="1"/>
  <c r="C2120" i="1"/>
  <c r="D2120" i="1"/>
  <c r="E2120" i="1"/>
  <c r="F2120" i="1"/>
  <c r="G2120" i="1"/>
  <c r="H2120" i="1"/>
  <c r="I2120" i="1"/>
  <c r="J2120" i="1"/>
  <c r="K2120" i="1"/>
  <c r="L2120" i="1"/>
  <c r="M2120" i="1"/>
  <c r="N2120" i="1"/>
  <c r="O2120" i="1"/>
  <c r="P2120" i="1"/>
  <c r="Q2120" i="1"/>
  <c r="A2121" i="1"/>
  <c r="B2121" i="1"/>
  <c r="C2121" i="1"/>
  <c r="E2121" i="1"/>
  <c r="F2121" i="1"/>
  <c r="G2121" i="1"/>
  <c r="H2121" i="1"/>
  <c r="I2121" i="1"/>
  <c r="J2121" i="1"/>
  <c r="K2121" i="1"/>
  <c r="L2121" i="1"/>
  <c r="M2121" i="1"/>
  <c r="N2121" i="1"/>
  <c r="O2121" i="1"/>
  <c r="P2121" i="1"/>
  <c r="Q2121" i="1"/>
  <c r="A2122" i="1"/>
  <c r="B2122" i="1"/>
  <c r="C2122" i="1"/>
  <c r="E2122" i="1"/>
  <c r="F2122" i="1"/>
  <c r="G2122" i="1"/>
  <c r="H2122" i="1"/>
  <c r="I2122" i="1"/>
  <c r="J2122" i="1"/>
  <c r="K2122" i="1"/>
  <c r="L2122" i="1"/>
  <c r="M2122" i="1"/>
  <c r="N2122" i="1"/>
  <c r="O2122" i="1"/>
  <c r="P2122" i="1"/>
  <c r="Q2122" i="1"/>
  <c r="A2123" i="1"/>
  <c r="B2123" i="1"/>
  <c r="C2123" i="1"/>
  <c r="D2123" i="1"/>
  <c r="E2123" i="1"/>
  <c r="F2123" i="1"/>
  <c r="G2123" i="1"/>
  <c r="H2123" i="1"/>
  <c r="I2123" i="1"/>
  <c r="J2123" i="1"/>
  <c r="K2123" i="1"/>
  <c r="L2123" i="1"/>
  <c r="M2123" i="1"/>
  <c r="N2123" i="1"/>
  <c r="O2123" i="1"/>
  <c r="P2123" i="1"/>
  <c r="Q2123" i="1"/>
  <c r="A2124" i="1"/>
  <c r="B2124" i="1"/>
  <c r="C2124" i="1"/>
  <c r="D2124" i="1"/>
  <c r="E2124" i="1"/>
  <c r="F2124" i="1"/>
  <c r="G2124" i="1"/>
  <c r="H2124" i="1"/>
  <c r="I2124" i="1"/>
  <c r="J2124" i="1"/>
  <c r="K2124" i="1"/>
  <c r="L2124" i="1"/>
  <c r="M2124" i="1"/>
  <c r="N2124" i="1"/>
  <c r="O2124" i="1"/>
  <c r="P2124" i="1"/>
  <c r="Q2124" i="1"/>
  <c r="A2125" i="1"/>
  <c r="B2125" i="1"/>
  <c r="C2125" i="1"/>
  <c r="D2125" i="1"/>
  <c r="E2125" i="1"/>
  <c r="F2125" i="1"/>
  <c r="G2125" i="1"/>
  <c r="H2125" i="1"/>
  <c r="I2125" i="1"/>
  <c r="J2125" i="1"/>
  <c r="K2125" i="1"/>
  <c r="L2125" i="1"/>
  <c r="M2125" i="1"/>
  <c r="N2125" i="1"/>
  <c r="O2125" i="1"/>
  <c r="P2125" i="1"/>
  <c r="Q2125" i="1"/>
  <c r="A2126" i="1"/>
  <c r="B2126" i="1"/>
  <c r="C2126" i="1"/>
  <c r="D2126" i="1"/>
  <c r="E2126" i="1"/>
  <c r="F2126" i="1"/>
  <c r="G2126" i="1"/>
  <c r="H2126" i="1"/>
  <c r="I2126" i="1"/>
  <c r="J2126" i="1"/>
  <c r="K2126" i="1"/>
  <c r="L2126" i="1"/>
  <c r="M2126" i="1"/>
  <c r="N2126" i="1"/>
  <c r="O2126" i="1"/>
  <c r="P2126" i="1"/>
  <c r="Q2126" i="1"/>
  <c r="A2127" i="1"/>
  <c r="B2127" i="1"/>
  <c r="C2127" i="1"/>
  <c r="D2127" i="1"/>
  <c r="E2127" i="1"/>
  <c r="F2127" i="1"/>
  <c r="G2127" i="1"/>
  <c r="H2127" i="1"/>
  <c r="I2127" i="1"/>
  <c r="J2127" i="1"/>
  <c r="K2127" i="1"/>
  <c r="L2127" i="1"/>
  <c r="M2127" i="1"/>
  <c r="N2127" i="1"/>
  <c r="O2127" i="1"/>
  <c r="P2127" i="1"/>
  <c r="Q2127" i="1"/>
  <c r="A2128" i="1"/>
  <c r="B2128" i="1"/>
  <c r="C2128" i="1"/>
  <c r="D2128" i="1"/>
  <c r="E2128" i="1"/>
  <c r="F2128" i="1"/>
  <c r="G2128" i="1"/>
  <c r="H2128" i="1"/>
  <c r="I2128" i="1"/>
  <c r="J2128" i="1"/>
  <c r="K2128" i="1"/>
  <c r="L2128" i="1"/>
  <c r="M2128" i="1"/>
  <c r="N2128" i="1"/>
  <c r="O2128" i="1"/>
  <c r="P2128" i="1"/>
  <c r="Q2128" i="1"/>
  <c r="A2129" i="1"/>
  <c r="B2129" i="1"/>
  <c r="C2129" i="1"/>
  <c r="E2129" i="1"/>
  <c r="F2129" i="1"/>
  <c r="G2129" i="1"/>
  <c r="H2129" i="1"/>
  <c r="I2129" i="1"/>
  <c r="J2129" i="1"/>
  <c r="K2129" i="1"/>
  <c r="L2129" i="1"/>
  <c r="M2129" i="1"/>
  <c r="N2129" i="1"/>
  <c r="O2129" i="1"/>
  <c r="P2129" i="1"/>
  <c r="Q2129" i="1"/>
  <c r="A2130" i="1"/>
  <c r="B2130" i="1"/>
  <c r="C2130" i="1"/>
  <c r="D2130" i="1"/>
  <c r="E2130" i="1"/>
  <c r="F2130" i="1"/>
  <c r="G2130" i="1"/>
  <c r="H2130" i="1"/>
  <c r="I2130" i="1"/>
  <c r="J2130" i="1"/>
  <c r="K2130" i="1"/>
  <c r="L2130" i="1"/>
  <c r="M2130" i="1"/>
  <c r="N2130" i="1"/>
  <c r="O2130" i="1"/>
  <c r="P2130" i="1"/>
  <c r="Q2130" i="1"/>
  <c r="A2131" i="1"/>
  <c r="B2131" i="1"/>
  <c r="C2131" i="1"/>
  <c r="D2131" i="1"/>
  <c r="E2131" i="1"/>
  <c r="F2131" i="1"/>
  <c r="G2131" i="1"/>
  <c r="H2131" i="1"/>
  <c r="I2131" i="1"/>
  <c r="J2131" i="1"/>
  <c r="K2131" i="1"/>
  <c r="L2131" i="1"/>
  <c r="M2131" i="1"/>
  <c r="N2131" i="1"/>
  <c r="O2131" i="1"/>
  <c r="P2131" i="1"/>
  <c r="Q2131" i="1"/>
  <c r="A2132" i="1"/>
  <c r="B2132" i="1"/>
  <c r="C2132" i="1"/>
  <c r="E2132" i="1"/>
  <c r="F2132" i="1"/>
  <c r="G2132" i="1"/>
  <c r="H2132" i="1"/>
  <c r="I2132" i="1"/>
  <c r="J2132" i="1"/>
  <c r="K2132" i="1"/>
  <c r="L2132" i="1"/>
  <c r="M2132" i="1"/>
  <c r="N2132" i="1"/>
  <c r="O2132" i="1"/>
  <c r="P2132" i="1"/>
  <c r="Q2132" i="1"/>
  <c r="A2133" i="1"/>
  <c r="B2133" i="1"/>
  <c r="C2133" i="1"/>
  <c r="D2133" i="1"/>
  <c r="E2133" i="1"/>
  <c r="F2133" i="1"/>
  <c r="G2133" i="1"/>
  <c r="H2133" i="1"/>
  <c r="I2133" i="1"/>
  <c r="J2133" i="1"/>
  <c r="K2133" i="1"/>
  <c r="L2133" i="1"/>
  <c r="M2133" i="1"/>
  <c r="N2133" i="1"/>
  <c r="O2133" i="1"/>
  <c r="P2133" i="1"/>
  <c r="Q2133" i="1"/>
  <c r="A2134" i="1"/>
  <c r="B2134" i="1"/>
  <c r="C2134" i="1"/>
  <c r="E2134" i="1"/>
  <c r="F2134" i="1"/>
  <c r="G2134" i="1"/>
  <c r="H2134" i="1"/>
  <c r="I2134" i="1"/>
  <c r="J2134" i="1"/>
  <c r="K2134" i="1"/>
  <c r="L2134" i="1"/>
  <c r="M2134" i="1"/>
  <c r="N2134" i="1"/>
  <c r="O2134" i="1"/>
  <c r="P2134" i="1"/>
  <c r="Q2134" i="1"/>
  <c r="A2135" i="1"/>
  <c r="B2135" i="1"/>
  <c r="C2135" i="1"/>
  <c r="E2135" i="1"/>
  <c r="F2135" i="1"/>
  <c r="G2135" i="1"/>
  <c r="H2135" i="1"/>
  <c r="I2135" i="1"/>
  <c r="J2135" i="1"/>
  <c r="K2135" i="1"/>
  <c r="L2135" i="1"/>
  <c r="M2135" i="1"/>
  <c r="N2135" i="1"/>
  <c r="O2135" i="1"/>
  <c r="P2135" i="1"/>
  <c r="Q2135" i="1"/>
  <c r="A2136" i="1"/>
  <c r="B2136" i="1"/>
  <c r="C2136" i="1"/>
  <c r="D2136" i="1"/>
  <c r="E2136" i="1"/>
  <c r="F2136" i="1"/>
  <c r="G2136" i="1"/>
  <c r="H2136" i="1"/>
  <c r="I2136" i="1"/>
  <c r="J2136" i="1"/>
  <c r="K2136" i="1"/>
  <c r="L2136" i="1"/>
  <c r="M2136" i="1"/>
  <c r="N2136" i="1"/>
  <c r="O2136" i="1"/>
  <c r="P2136" i="1"/>
  <c r="Q2136" i="1"/>
  <c r="A2137" i="1"/>
  <c r="B2137" i="1"/>
  <c r="C2137" i="1"/>
  <c r="D2137" i="1"/>
  <c r="E2137" i="1"/>
  <c r="F2137" i="1"/>
  <c r="G2137" i="1"/>
  <c r="H2137" i="1"/>
  <c r="I2137" i="1"/>
  <c r="J2137" i="1"/>
  <c r="K2137" i="1"/>
  <c r="L2137" i="1"/>
  <c r="M2137" i="1"/>
  <c r="N2137" i="1"/>
  <c r="O2137" i="1"/>
  <c r="P2137" i="1"/>
  <c r="Q2137" i="1"/>
  <c r="A2138" i="1"/>
  <c r="B2138" i="1"/>
  <c r="C2138" i="1"/>
  <c r="E2138" i="1"/>
  <c r="F2138" i="1"/>
  <c r="G2138" i="1"/>
  <c r="H2138" i="1"/>
  <c r="I2138" i="1"/>
  <c r="J2138" i="1"/>
  <c r="K2138" i="1"/>
  <c r="L2138" i="1"/>
  <c r="M2138" i="1"/>
  <c r="N2138" i="1"/>
  <c r="O2138" i="1"/>
  <c r="P2138" i="1"/>
  <c r="Q2138" i="1"/>
  <c r="A2139" i="1"/>
  <c r="B2139" i="1"/>
  <c r="C2139" i="1"/>
  <c r="E2139" i="1"/>
  <c r="F2139" i="1"/>
  <c r="G2139" i="1"/>
  <c r="H2139" i="1"/>
  <c r="I2139" i="1"/>
  <c r="J2139" i="1"/>
  <c r="K2139" i="1"/>
  <c r="L2139" i="1"/>
  <c r="M2139" i="1"/>
  <c r="N2139" i="1"/>
  <c r="O2139" i="1"/>
  <c r="P2139" i="1"/>
  <c r="Q2139" i="1"/>
  <c r="A2140" i="1"/>
  <c r="B2140" i="1"/>
  <c r="C2140" i="1"/>
  <c r="D2140" i="1"/>
  <c r="E2140" i="1"/>
  <c r="F2140" i="1"/>
  <c r="G2140" i="1"/>
  <c r="H2140" i="1"/>
  <c r="I2140" i="1"/>
  <c r="J2140" i="1"/>
  <c r="K2140" i="1"/>
  <c r="L2140" i="1"/>
  <c r="M2140" i="1"/>
  <c r="N2140" i="1"/>
  <c r="O2140" i="1"/>
  <c r="P2140" i="1"/>
  <c r="Q2140" i="1"/>
  <c r="A2141" i="1"/>
  <c r="B2141" i="1"/>
  <c r="C2141" i="1"/>
  <c r="E2141" i="1"/>
  <c r="F2141" i="1"/>
  <c r="G2141" i="1"/>
  <c r="H2141" i="1"/>
  <c r="I2141" i="1"/>
  <c r="J2141" i="1"/>
  <c r="K2141" i="1"/>
  <c r="L2141" i="1"/>
  <c r="M2141" i="1"/>
  <c r="N2141" i="1"/>
  <c r="O2141" i="1"/>
  <c r="P2141" i="1"/>
  <c r="Q2141" i="1"/>
  <c r="A2142" i="1"/>
  <c r="B2142" i="1"/>
  <c r="E2142" i="1"/>
  <c r="F2142" i="1"/>
  <c r="G2142" i="1"/>
  <c r="H2142" i="1"/>
  <c r="I2142" i="1"/>
  <c r="J2142" i="1"/>
  <c r="K2142" i="1"/>
  <c r="L2142" i="1"/>
  <c r="M2142" i="1"/>
  <c r="N2142" i="1"/>
  <c r="O2142" i="1"/>
  <c r="P2142" i="1"/>
  <c r="Q2142" i="1"/>
  <c r="A2143" i="1"/>
  <c r="B2143" i="1"/>
  <c r="C2143" i="1"/>
  <c r="D2143" i="1"/>
  <c r="E2143" i="1"/>
  <c r="F2143" i="1"/>
  <c r="G2143" i="1"/>
  <c r="H2143" i="1"/>
  <c r="I2143" i="1"/>
  <c r="J2143" i="1"/>
  <c r="K2143" i="1"/>
  <c r="L2143" i="1"/>
  <c r="M2143" i="1"/>
  <c r="N2143" i="1"/>
  <c r="O2143" i="1"/>
  <c r="P2143" i="1"/>
  <c r="Q2143" i="1"/>
  <c r="A2144" i="1"/>
  <c r="B2144" i="1"/>
  <c r="C2144" i="1"/>
  <c r="D2144" i="1"/>
  <c r="E2144" i="1"/>
  <c r="F2144" i="1"/>
  <c r="G2144" i="1"/>
  <c r="H2144" i="1"/>
  <c r="I2144" i="1"/>
  <c r="J2144" i="1"/>
  <c r="K2144" i="1"/>
  <c r="L2144" i="1"/>
  <c r="M2144" i="1"/>
  <c r="N2144" i="1"/>
  <c r="O2144" i="1"/>
  <c r="P2144" i="1"/>
  <c r="Q2144" i="1"/>
  <c r="A2145" i="1"/>
  <c r="B2145" i="1"/>
  <c r="C2145" i="1"/>
  <c r="E2145" i="1"/>
  <c r="F2145" i="1"/>
  <c r="G2145" i="1"/>
  <c r="H2145" i="1"/>
  <c r="I2145" i="1"/>
  <c r="J2145" i="1"/>
  <c r="K2145" i="1"/>
  <c r="L2145" i="1"/>
  <c r="M2145" i="1"/>
  <c r="N2145" i="1"/>
  <c r="O2145" i="1"/>
  <c r="P2145" i="1"/>
  <c r="Q2145" i="1"/>
  <c r="A2146" i="1"/>
  <c r="B2146" i="1"/>
  <c r="C2146" i="1"/>
  <c r="E2146" i="1"/>
  <c r="F2146" i="1"/>
  <c r="G2146" i="1"/>
  <c r="H2146" i="1"/>
  <c r="I2146" i="1"/>
  <c r="J2146" i="1"/>
  <c r="K2146" i="1"/>
  <c r="L2146" i="1"/>
  <c r="M2146" i="1"/>
  <c r="N2146" i="1"/>
  <c r="O2146" i="1"/>
  <c r="P2146" i="1"/>
  <c r="Q2146" i="1"/>
  <c r="A2147" i="1"/>
  <c r="B2147" i="1"/>
  <c r="C2147" i="1"/>
  <c r="D2147" i="1"/>
  <c r="E2147" i="1"/>
  <c r="F2147" i="1"/>
  <c r="G2147" i="1"/>
  <c r="H2147" i="1"/>
  <c r="I2147" i="1"/>
  <c r="J2147" i="1"/>
  <c r="K2147" i="1"/>
  <c r="L2147" i="1"/>
  <c r="M2147" i="1"/>
  <c r="N2147" i="1"/>
  <c r="O2147" i="1"/>
  <c r="P2147" i="1"/>
  <c r="Q2147" i="1"/>
  <c r="A2148" i="1"/>
  <c r="B2148" i="1"/>
  <c r="C2148" i="1"/>
  <c r="D2148" i="1"/>
  <c r="E2148" i="1"/>
  <c r="F2148" i="1"/>
  <c r="G2148" i="1"/>
  <c r="H2148" i="1"/>
  <c r="I2148" i="1"/>
  <c r="J2148" i="1"/>
  <c r="K2148" i="1"/>
  <c r="L2148" i="1"/>
  <c r="M2148" i="1"/>
  <c r="N2148" i="1"/>
  <c r="O2148" i="1"/>
  <c r="P2148" i="1"/>
  <c r="Q2148" i="1"/>
  <c r="A2149" i="1"/>
  <c r="B2149" i="1"/>
  <c r="C2149" i="1"/>
  <c r="E2149" i="1"/>
  <c r="F2149" i="1"/>
  <c r="G2149" i="1"/>
  <c r="H2149" i="1"/>
  <c r="I2149" i="1"/>
  <c r="J2149" i="1"/>
  <c r="K2149" i="1"/>
  <c r="L2149" i="1"/>
  <c r="M2149" i="1"/>
  <c r="N2149" i="1"/>
  <c r="O2149" i="1"/>
  <c r="P2149" i="1"/>
  <c r="Q2149" i="1"/>
  <c r="A2150" i="1"/>
  <c r="B2150" i="1"/>
  <c r="C2150" i="1"/>
  <c r="E2150" i="1"/>
  <c r="F2150" i="1"/>
  <c r="G2150" i="1"/>
  <c r="H2150" i="1"/>
  <c r="I2150" i="1"/>
  <c r="J2150" i="1"/>
  <c r="K2150" i="1"/>
  <c r="L2150" i="1"/>
  <c r="M2150" i="1"/>
  <c r="N2150" i="1"/>
  <c r="O2150" i="1"/>
  <c r="P2150" i="1"/>
  <c r="Q2150" i="1"/>
  <c r="A2151" i="1"/>
  <c r="B2151" i="1"/>
  <c r="C2151" i="1"/>
  <c r="D2151" i="1"/>
  <c r="E2151" i="1"/>
  <c r="F2151" i="1"/>
  <c r="G2151" i="1"/>
  <c r="H2151" i="1"/>
  <c r="I2151" i="1"/>
  <c r="J2151" i="1"/>
  <c r="K2151" i="1"/>
  <c r="L2151" i="1"/>
  <c r="M2151" i="1"/>
  <c r="N2151" i="1"/>
  <c r="O2151" i="1"/>
  <c r="P2151" i="1"/>
  <c r="Q2151" i="1"/>
  <c r="A2152" i="1"/>
  <c r="B2152" i="1"/>
  <c r="C2152" i="1"/>
  <c r="E2152" i="1"/>
  <c r="F2152" i="1"/>
  <c r="G2152" i="1"/>
  <c r="H2152" i="1"/>
  <c r="I2152" i="1"/>
  <c r="J2152" i="1"/>
  <c r="K2152" i="1"/>
  <c r="L2152" i="1"/>
  <c r="M2152" i="1"/>
  <c r="N2152" i="1"/>
  <c r="O2152" i="1"/>
  <c r="P2152" i="1"/>
  <c r="Q2152" i="1"/>
  <c r="A2153" i="1"/>
  <c r="B2153" i="1"/>
  <c r="C2153" i="1"/>
  <c r="E2153" i="1"/>
  <c r="F2153" i="1"/>
  <c r="G2153" i="1"/>
  <c r="H2153" i="1"/>
  <c r="I2153" i="1"/>
  <c r="J2153" i="1"/>
  <c r="K2153" i="1"/>
  <c r="L2153" i="1"/>
  <c r="M2153" i="1"/>
  <c r="N2153" i="1"/>
  <c r="O2153" i="1"/>
  <c r="P2153" i="1"/>
  <c r="Q2153" i="1"/>
  <c r="A2154" i="1"/>
  <c r="B2154" i="1"/>
  <c r="C2154" i="1"/>
  <c r="D2154" i="1"/>
  <c r="E2154" i="1"/>
  <c r="F2154" i="1"/>
  <c r="G2154" i="1"/>
  <c r="H2154" i="1"/>
  <c r="I2154" i="1"/>
  <c r="J2154" i="1"/>
  <c r="K2154" i="1"/>
  <c r="L2154" i="1"/>
  <c r="M2154" i="1"/>
  <c r="N2154" i="1"/>
  <c r="O2154" i="1"/>
  <c r="P2154" i="1"/>
  <c r="Q2154" i="1"/>
  <c r="A2155" i="1"/>
  <c r="B2155" i="1"/>
  <c r="C2155" i="1"/>
  <c r="E2155" i="1"/>
  <c r="F2155" i="1"/>
  <c r="G2155" i="1"/>
  <c r="H2155" i="1"/>
  <c r="I2155" i="1"/>
  <c r="J2155" i="1"/>
  <c r="K2155" i="1"/>
  <c r="L2155" i="1"/>
  <c r="M2155" i="1"/>
  <c r="N2155" i="1"/>
  <c r="O2155" i="1"/>
  <c r="P2155" i="1"/>
  <c r="Q2155" i="1"/>
  <c r="A2156" i="1"/>
  <c r="B2156" i="1"/>
  <c r="C2156" i="1"/>
  <c r="E2156" i="1"/>
  <c r="F2156" i="1"/>
  <c r="G2156" i="1"/>
  <c r="H2156" i="1"/>
  <c r="I2156" i="1"/>
  <c r="J2156" i="1"/>
  <c r="K2156" i="1"/>
  <c r="L2156" i="1"/>
  <c r="M2156" i="1"/>
  <c r="N2156" i="1"/>
  <c r="O2156" i="1"/>
  <c r="P2156" i="1"/>
  <c r="Q2156" i="1"/>
  <c r="A2157" i="1"/>
  <c r="B2157" i="1"/>
  <c r="C2157" i="1"/>
  <c r="E2157" i="1"/>
  <c r="F2157" i="1"/>
  <c r="G2157" i="1"/>
  <c r="H2157" i="1"/>
  <c r="I2157" i="1"/>
  <c r="J2157" i="1"/>
  <c r="K2157" i="1"/>
  <c r="L2157" i="1"/>
  <c r="M2157" i="1"/>
  <c r="N2157" i="1"/>
  <c r="O2157" i="1"/>
  <c r="P2157" i="1"/>
  <c r="Q2157" i="1"/>
  <c r="A2158" i="1"/>
  <c r="B2158" i="1"/>
  <c r="C2158" i="1"/>
  <c r="E2158" i="1"/>
  <c r="F2158" i="1"/>
  <c r="G2158" i="1"/>
  <c r="H2158" i="1"/>
  <c r="I2158" i="1"/>
  <c r="J2158" i="1"/>
  <c r="K2158" i="1"/>
  <c r="L2158" i="1"/>
  <c r="M2158" i="1"/>
  <c r="N2158" i="1"/>
  <c r="O2158" i="1"/>
  <c r="P2158" i="1"/>
  <c r="Q2158" i="1"/>
  <c r="A2159" i="1"/>
  <c r="B2159" i="1"/>
  <c r="C2159" i="1"/>
  <c r="E2159" i="1"/>
  <c r="F2159" i="1"/>
  <c r="G2159" i="1"/>
  <c r="H2159" i="1"/>
  <c r="I2159" i="1"/>
  <c r="J2159" i="1"/>
  <c r="K2159" i="1"/>
  <c r="L2159" i="1"/>
  <c r="M2159" i="1"/>
  <c r="N2159" i="1"/>
  <c r="O2159" i="1"/>
  <c r="P2159" i="1"/>
  <c r="Q2159" i="1"/>
  <c r="A2160" i="1"/>
  <c r="B2160" i="1"/>
  <c r="C2160" i="1"/>
  <c r="E2160" i="1"/>
  <c r="F2160" i="1"/>
  <c r="G2160" i="1"/>
  <c r="H2160" i="1"/>
  <c r="I2160" i="1"/>
  <c r="J2160" i="1"/>
  <c r="K2160" i="1"/>
  <c r="L2160" i="1"/>
  <c r="M2160" i="1"/>
  <c r="N2160" i="1"/>
  <c r="O2160" i="1"/>
  <c r="P2160" i="1"/>
  <c r="Q2160" i="1"/>
  <c r="A2161" i="1"/>
  <c r="B2161" i="1"/>
  <c r="C2161" i="1"/>
  <c r="D2161" i="1"/>
  <c r="E2161" i="1"/>
  <c r="F2161" i="1"/>
  <c r="G2161" i="1"/>
  <c r="H2161" i="1"/>
  <c r="I2161" i="1"/>
  <c r="J2161" i="1"/>
  <c r="K2161" i="1"/>
  <c r="L2161" i="1"/>
  <c r="M2161" i="1"/>
  <c r="N2161" i="1"/>
  <c r="O2161" i="1"/>
  <c r="P2161" i="1"/>
  <c r="Q2161" i="1"/>
  <c r="A2162" i="1"/>
  <c r="B2162" i="1"/>
  <c r="C2162" i="1"/>
  <c r="D2162" i="1"/>
  <c r="E2162" i="1"/>
  <c r="F2162" i="1"/>
  <c r="G2162" i="1"/>
  <c r="H2162" i="1"/>
  <c r="I2162" i="1"/>
  <c r="J2162" i="1"/>
  <c r="K2162" i="1"/>
  <c r="L2162" i="1"/>
  <c r="M2162" i="1"/>
  <c r="N2162" i="1"/>
  <c r="O2162" i="1"/>
  <c r="P2162" i="1"/>
  <c r="Q2162" i="1"/>
  <c r="A2163" i="1"/>
  <c r="B2163" i="1"/>
  <c r="C2163" i="1"/>
  <c r="E2163" i="1"/>
  <c r="F2163" i="1"/>
  <c r="G2163" i="1"/>
  <c r="H2163" i="1"/>
  <c r="I2163" i="1"/>
  <c r="J2163" i="1"/>
  <c r="K2163" i="1"/>
  <c r="L2163" i="1"/>
  <c r="M2163" i="1"/>
  <c r="N2163" i="1"/>
  <c r="O2163" i="1"/>
  <c r="P2163" i="1"/>
  <c r="Q2163" i="1"/>
  <c r="A2164" i="1"/>
  <c r="B2164" i="1"/>
  <c r="C2164" i="1"/>
  <c r="D2164" i="1"/>
  <c r="E2164" i="1"/>
  <c r="F2164" i="1"/>
  <c r="G2164" i="1"/>
  <c r="H2164" i="1"/>
  <c r="I2164" i="1"/>
  <c r="J2164" i="1"/>
  <c r="K2164" i="1"/>
  <c r="L2164" i="1"/>
  <c r="M2164" i="1"/>
  <c r="N2164" i="1"/>
  <c r="O2164" i="1"/>
  <c r="P2164" i="1"/>
  <c r="Q2164" i="1"/>
  <c r="A2165" i="1"/>
  <c r="B2165" i="1"/>
  <c r="C2165" i="1"/>
  <c r="D2165" i="1"/>
  <c r="E2165" i="1"/>
  <c r="F2165" i="1"/>
  <c r="G2165" i="1"/>
  <c r="H2165" i="1"/>
  <c r="I2165" i="1"/>
  <c r="J2165" i="1"/>
  <c r="K2165" i="1"/>
  <c r="L2165" i="1"/>
  <c r="M2165" i="1"/>
  <c r="N2165" i="1"/>
  <c r="O2165" i="1"/>
  <c r="P2165" i="1"/>
  <c r="Q2165" i="1"/>
  <c r="A2166" i="1"/>
  <c r="B2166" i="1"/>
  <c r="C2166" i="1"/>
  <c r="E2166" i="1"/>
  <c r="F2166" i="1"/>
  <c r="G2166" i="1"/>
  <c r="H2166" i="1"/>
  <c r="I2166" i="1"/>
  <c r="J2166" i="1"/>
  <c r="K2166" i="1"/>
  <c r="L2166" i="1"/>
  <c r="M2166" i="1"/>
  <c r="N2166" i="1"/>
  <c r="O2166" i="1"/>
  <c r="P2166" i="1"/>
  <c r="Q2166" i="1"/>
  <c r="A2167" i="1"/>
  <c r="B2167" i="1"/>
  <c r="C2167" i="1"/>
  <c r="E2167" i="1"/>
  <c r="F2167" i="1"/>
  <c r="G2167" i="1"/>
  <c r="H2167" i="1"/>
  <c r="I2167" i="1"/>
  <c r="J2167" i="1"/>
  <c r="K2167" i="1"/>
  <c r="L2167" i="1"/>
  <c r="M2167" i="1"/>
  <c r="N2167" i="1"/>
  <c r="O2167" i="1"/>
  <c r="P2167" i="1"/>
  <c r="Q2167" i="1"/>
  <c r="A2168" i="1"/>
  <c r="B2168" i="1"/>
  <c r="C2168" i="1"/>
  <c r="E2168" i="1"/>
  <c r="F2168" i="1"/>
  <c r="G2168" i="1"/>
  <c r="H2168" i="1"/>
  <c r="I2168" i="1"/>
  <c r="J2168" i="1"/>
  <c r="K2168" i="1"/>
  <c r="L2168" i="1"/>
  <c r="M2168" i="1"/>
  <c r="N2168" i="1"/>
  <c r="O2168" i="1"/>
  <c r="P2168" i="1"/>
  <c r="Q2168" i="1"/>
  <c r="A2169" i="1"/>
  <c r="B2169" i="1"/>
  <c r="C2169" i="1"/>
  <c r="D2169" i="1"/>
  <c r="E2169" i="1"/>
  <c r="F2169" i="1"/>
  <c r="G2169" i="1"/>
  <c r="H2169" i="1"/>
  <c r="I2169" i="1"/>
  <c r="J2169" i="1"/>
  <c r="K2169" i="1"/>
  <c r="L2169" i="1"/>
  <c r="M2169" i="1"/>
  <c r="N2169" i="1"/>
  <c r="O2169" i="1"/>
  <c r="P2169" i="1"/>
  <c r="Q2169" i="1"/>
  <c r="A2170" i="1"/>
  <c r="B2170" i="1"/>
  <c r="C2170" i="1"/>
  <c r="D2170" i="1"/>
  <c r="E2170" i="1"/>
  <c r="F2170" i="1"/>
  <c r="G2170" i="1"/>
  <c r="H2170" i="1"/>
  <c r="I2170" i="1"/>
  <c r="J2170" i="1"/>
  <c r="K2170" i="1"/>
  <c r="L2170" i="1"/>
  <c r="M2170" i="1"/>
  <c r="N2170" i="1"/>
  <c r="O2170" i="1"/>
  <c r="P2170" i="1"/>
  <c r="Q2170" i="1"/>
  <c r="A2171" i="1"/>
  <c r="B2171" i="1"/>
  <c r="C2171" i="1"/>
  <c r="E2171" i="1"/>
  <c r="F2171" i="1"/>
  <c r="G2171" i="1"/>
  <c r="H2171" i="1"/>
  <c r="I2171" i="1"/>
  <c r="J2171" i="1"/>
  <c r="K2171" i="1"/>
  <c r="L2171" i="1"/>
  <c r="M2171" i="1"/>
  <c r="N2171" i="1"/>
  <c r="O2171" i="1"/>
  <c r="P2171" i="1"/>
  <c r="Q2171" i="1"/>
  <c r="A2172" i="1"/>
  <c r="B2172" i="1"/>
  <c r="C2172" i="1"/>
  <c r="D2172" i="1"/>
  <c r="E2172" i="1"/>
  <c r="F2172" i="1"/>
  <c r="G2172" i="1"/>
  <c r="H2172" i="1"/>
  <c r="I2172" i="1"/>
  <c r="J2172" i="1"/>
  <c r="K2172" i="1"/>
  <c r="L2172" i="1"/>
  <c r="M2172" i="1"/>
  <c r="N2172" i="1"/>
  <c r="O2172" i="1"/>
  <c r="P2172" i="1"/>
  <c r="Q2172" i="1"/>
  <c r="A2173" i="1"/>
  <c r="B2173" i="1"/>
  <c r="C2173" i="1"/>
  <c r="D2173" i="1"/>
  <c r="E2173" i="1"/>
  <c r="F2173" i="1"/>
  <c r="G2173" i="1"/>
  <c r="H2173" i="1"/>
  <c r="I2173" i="1"/>
  <c r="J2173" i="1"/>
  <c r="K2173" i="1"/>
  <c r="L2173" i="1"/>
  <c r="M2173" i="1"/>
  <c r="N2173" i="1"/>
  <c r="O2173" i="1"/>
  <c r="P2173" i="1"/>
  <c r="Q2173" i="1"/>
  <c r="A2174" i="1"/>
  <c r="B2174" i="1"/>
  <c r="C2174" i="1"/>
  <c r="D2174" i="1"/>
  <c r="E2174" i="1"/>
  <c r="F2174" i="1"/>
  <c r="G2174" i="1"/>
  <c r="H2174" i="1"/>
  <c r="I2174" i="1"/>
  <c r="J2174" i="1"/>
  <c r="K2174" i="1"/>
  <c r="L2174" i="1"/>
  <c r="M2174" i="1"/>
  <c r="N2174" i="1"/>
  <c r="O2174" i="1"/>
  <c r="P2174" i="1"/>
  <c r="Q2174" i="1"/>
  <c r="A2175" i="1"/>
  <c r="B2175" i="1"/>
  <c r="C2175" i="1"/>
  <c r="D2175" i="1"/>
  <c r="E2175" i="1"/>
  <c r="F2175" i="1"/>
  <c r="G2175" i="1"/>
  <c r="H2175" i="1"/>
  <c r="I2175" i="1"/>
  <c r="J2175" i="1"/>
  <c r="K2175" i="1"/>
  <c r="L2175" i="1"/>
  <c r="M2175" i="1"/>
  <c r="N2175" i="1"/>
  <c r="O2175" i="1"/>
  <c r="P2175" i="1"/>
  <c r="Q2175" i="1"/>
  <c r="A2176" i="1"/>
  <c r="B2176" i="1"/>
  <c r="C2176" i="1"/>
  <c r="D2176" i="1"/>
  <c r="E2176" i="1"/>
  <c r="F2176" i="1"/>
  <c r="G2176" i="1"/>
  <c r="H2176" i="1"/>
  <c r="I2176" i="1"/>
  <c r="J2176" i="1"/>
  <c r="K2176" i="1"/>
  <c r="L2176" i="1"/>
  <c r="M2176" i="1"/>
  <c r="N2176" i="1"/>
  <c r="O2176" i="1"/>
  <c r="P2176" i="1"/>
  <c r="Q2176" i="1"/>
  <c r="A2177" i="1"/>
  <c r="B2177" i="1"/>
  <c r="C2177" i="1"/>
  <c r="D2177" i="1"/>
  <c r="E2177" i="1"/>
  <c r="F2177" i="1"/>
  <c r="G2177" i="1"/>
  <c r="H2177" i="1"/>
  <c r="I2177" i="1"/>
  <c r="J2177" i="1"/>
  <c r="K2177" i="1"/>
  <c r="L2177" i="1"/>
  <c r="M2177" i="1"/>
  <c r="N2177" i="1"/>
  <c r="O2177" i="1"/>
  <c r="P2177" i="1"/>
  <c r="Q2177" i="1"/>
  <c r="A2178" i="1"/>
  <c r="B2178" i="1"/>
  <c r="C2178" i="1"/>
  <c r="D2178" i="1"/>
  <c r="E2178" i="1"/>
  <c r="F2178" i="1"/>
  <c r="G2178" i="1"/>
  <c r="H2178" i="1"/>
  <c r="I2178" i="1"/>
  <c r="J2178" i="1"/>
  <c r="K2178" i="1"/>
  <c r="L2178" i="1"/>
  <c r="M2178" i="1"/>
  <c r="N2178" i="1"/>
  <c r="O2178" i="1"/>
  <c r="P2178" i="1"/>
  <c r="Q2178" i="1"/>
  <c r="A2179" i="1"/>
  <c r="B2179" i="1"/>
  <c r="C2179" i="1"/>
  <c r="D2179" i="1"/>
  <c r="E2179" i="1"/>
  <c r="F2179" i="1"/>
  <c r="G2179" i="1"/>
  <c r="H2179" i="1"/>
  <c r="I2179" i="1"/>
  <c r="J2179" i="1"/>
  <c r="K2179" i="1"/>
  <c r="L2179" i="1"/>
  <c r="M2179" i="1"/>
  <c r="N2179" i="1"/>
  <c r="O2179" i="1"/>
  <c r="P2179" i="1"/>
  <c r="Q2179" i="1"/>
  <c r="A2180" i="1"/>
  <c r="B2180" i="1"/>
  <c r="C2180" i="1"/>
  <c r="D2180" i="1"/>
  <c r="E2180" i="1"/>
  <c r="F2180" i="1"/>
  <c r="G2180" i="1"/>
  <c r="H2180" i="1"/>
  <c r="I2180" i="1"/>
  <c r="J2180" i="1"/>
  <c r="K2180" i="1"/>
  <c r="L2180" i="1"/>
  <c r="M2180" i="1"/>
  <c r="N2180" i="1"/>
  <c r="O2180" i="1"/>
  <c r="P2180" i="1"/>
  <c r="Q2180" i="1"/>
  <c r="A2181" i="1"/>
  <c r="B2181" i="1"/>
  <c r="C2181" i="1"/>
  <c r="D2181" i="1"/>
  <c r="E2181" i="1"/>
  <c r="F2181" i="1"/>
  <c r="G2181" i="1"/>
  <c r="H2181" i="1"/>
  <c r="I2181" i="1"/>
  <c r="J2181" i="1"/>
  <c r="K2181" i="1"/>
  <c r="L2181" i="1"/>
  <c r="M2181" i="1"/>
  <c r="N2181" i="1"/>
  <c r="O2181" i="1"/>
  <c r="P2181" i="1"/>
  <c r="Q2181" i="1"/>
  <c r="A2182" i="1"/>
  <c r="B2182" i="1"/>
  <c r="C2182" i="1"/>
  <c r="D2182" i="1"/>
  <c r="E2182" i="1"/>
  <c r="F2182" i="1"/>
  <c r="G2182" i="1"/>
  <c r="H2182" i="1"/>
  <c r="I2182" i="1"/>
  <c r="J2182" i="1"/>
  <c r="K2182" i="1"/>
  <c r="L2182" i="1"/>
  <c r="M2182" i="1"/>
  <c r="N2182" i="1"/>
  <c r="O2182" i="1"/>
  <c r="P2182" i="1"/>
  <c r="Q2182" i="1"/>
  <c r="A2183" i="1"/>
  <c r="B2183" i="1"/>
  <c r="C2183" i="1"/>
  <c r="D2183" i="1"/>
  <c r="E2183" i="1"/>
  <c r="F2183" i="1"/>
  <c r="G2183" i="1"/>
  <c r="H2183" i="1"/>
  <c r="I2183" i="1"/>
  <c r="J2183" i="1"/>
  <c r="K2183" i="1"/>
  <c r="L2183" i="1"/>
  <c r="M2183" i="1"/>
  <c r="N2183" i="1"/>
  <c r="O2183" i="1"/>
  <c r="P2183" i="1"/>
  <c r="Q2183" i="1"/>
  <c r="A2184" i="1"/>
  <c r="B2184" i="1"/>
  <c r="C2184" i="1"/>
  <c r="E2184" i="1"/>
  <c r="F2184" i="1"/>
  <c r="G2184" i="1"/>
  <c r="H2184" i="1"/>
  <c r="I2184" i="1"/>
  <c r="J2184" i="1"/>
  <c r="K2184" i="1"/>
  <c r="L2184" i="1"/>
  <c r="M2184" i="1"/>
  <c r="N2184" i="1"/>
  <c r="O2184" i="1"/>
  <c r="P2184" i="1"/>
  <c r="Q2184" i="1"/>
  <c r="A2185" i="1"/>
  <c r="B2185" i="1"/>
  <c r="C2185" i="1"/>
  <c r="D2185" i="1"/>
  <c r="E2185" i="1"/>
  <c r="F2185" i="1"/>
  <c r="G2185" i="1"/>
  <c r="H2185" i="1"/>
  <c r="I2185" i="1"/>
  <c r="J2185" i="1"/>
  <c r="K2185" i="1"/>
  <c r="L2185" i="1"/>
  <c r="M2185" i="1"/>
  <c r="N2185" i="1"/>
  <c r="O2185" i="1"/>
  <c r="P2185" i="1"/>
  <c r="Q2185" i="1"/>
  <c r="A2186" i="1"/>
  <c r="B2186" i="1"/>
  <c r="C2186" i="1"/>
  <c r="D2186" i="1"/>
  <c r="E2186" i="1"/>
  <c r="F2186" i="1"/>
  <c r="G2186" i="1"/>
  <c r="H2186" i="1"/>
  <c r="I2186" i="1"/>
  <c r="J2186" i="1"/>
  <c r="K2186" i="1"/>
  <c r="L2186" i="1"/>
  <c r="M2186" i="1"/>
  <c r="N2186" i="1"/>
  <c r="O2186" i="1"/>
  <c r="P2186" i="1"/>
  <c r="Q2186" i="1"/>
  <c r="A2187" i="1"/>
  <c r="B2187" i="1"/>
  <c r="C2187" i="1"/>
  <c r="E2187" i="1"/>
  <c r="F2187" i="1"/>
  <c r="G2187" i="1"/>
  <c r="H2187" i="1"/>
  <c r="I2187" i="1"/>
  <c r="J2187" i="1"/>
  <c r="K2187" i="1"/>
  <c r="L2187" i="1"/>
  <c r="M2187" i="1"/>
  <c r="N2187" i="1"/>
  <c r="O2187" i="1"/>
  <c r="P2187" i="1"/>
  <c r="Q2187" i="1"/>
  <c r="A2188" i="1"/>
  <c r="B2188" i="1"/>
  <c r="C2188" i="1"/>
  <c r="D2188" i="1"/>
  <c r="E2188" i="1"/>
  <c r="F2188" i="1"/>
  <c r="G2188" i="1"/>
  <c r="H2188" i="1"/>
  <c r="I2188" i="1"/>
  <c r="J2188" i="1"/>
  <c r="K2188" i="1"/>
  <c r="L2188" i="1"/>
  <c r="M2188" i="1"/>
  <c r="N2188" i="1"/>
  <c r="O2188" i="1"/>
  <c r="P2188" i="1"/>
  <c r="Q2188" i="1"/>
  <c r="A2189" i="1"/>
  <c r="B2189" i="1"/>
  <c r="C2189" i="1"/>
  <c r="D2189" i="1"/>
  <c r="E2189" i="1"/>
  <c r="F2189" i="1"/>
  <c r="G2189" i="1"/>
  <c r="H2189" i="1"/>
  <c r="I2189" i="1"/>
  <c r="J2189" i="1"/>
  <c r="K2189" i="1"/>
  <c r="L2189" i="1"/>
  <c r="M2189" i="1"/>
  <c r="N2189" i="1"/>
  <c r="O2189" i="1"/>
  <c r="P2189" i="1"/>
  <c r="Q2189" i="1"/>
  <c r="A2190" i="1"/>
  <c r="B2190" i="1"/>
  <c r="C2190" i="1"/>
  <c r="D2190" i="1"/>
  <c r="E2190" i="1"/>
  <c r="F2190" i="1"/>
  <c r="G2190" i="1"/>
  <c r="H2190" i="1"/>
  <c r="I2190" i="1"/>
  <c r="J2190" i="1"/>
  <c r="K2190" i="1"/>
  <c r="L2190" i="1"/>
  <c r="M2190" i="1"/>
  <c r="N2190" i="1"/>
  <c r="O2190" i="1"/>
  <c r="P2190" i="1"/>
  <c r="Q2190" i="1"/>
  <c r="A2191" i="1"/>
  <c r="B2191" i="1"/>
  <c r="C2191" i="1"/>
  <c r="E2191" i="1"/>
  <c r="F2191" i="1"/>
  <c r="G2191" i="1"/>
  <c r="H2191" i="1"/>
  <c r="I2191" i="1"/>
  <c r="J2191" i="1"/>
  <c r="K2191" i="1"/>
  <c r="L2191" i="1"/>
  <c r="M2191" i="1"/>
  <c r="N2191" i="1"/>
  <c r="O2191" i="1"/>
  <c r="P2191" i="1"/>
  <c r="Q2191" i="1"/>
  <c r="A2192" i="1"/>
  <c r="B2192" i="1"/>
  <c r="C2192" i="1"/>
  <c r="D2192" i="1"/>
  <c r="E2192" i="1"/>
  <c r="F2192" i="1"/>
  <c r="G2192" i="1"/>
  <c r="H2192" i="1"/>
  <c r="I2192" i="1"/>
  <c r="J2192" i="1"/>
  <c r="K2192" i="1"/>
  <c r="L2192" i="1"/>
  <c r="M2192" i="1"/>
  <c r="N2192" i="1"/>
  <c r="O2192" i="1"/>
  <c r="P2192" i="1"/>
  <c r="Q2192" i="1"/>
  <c r="A2193" i="1"/>
  <c r="B2193" i="1"/>
  <c r="C2193" i="1"/>
  <c r="E2193" i="1"/>
  <c r="F2193" i="1"/>
  <c r="G2193" i="1"/>
  <c r="H2193" i="1"/>
  <c r="I2193" i="1"/>
  <c r="J2193" i="1"/>
  <c r="K2193" i="1"/>
  <c r="L2193" i="1"/>
  <c r="M2193" i="1"/>
  <c r="N2193" i="1"/>
  <c r="O2193" i="1"/>
  <c r="P2193" i="1"/>
  <c r="Q2193" i="1"/>
  <c r="A2194" i="1"/>
  <c r="B2194" i="1"/>
  <c r="C2194" i="1"/>
  <c r="D2194" i="1"/>
  <c r="E2194" i="1"/>
  <c r="F2194" i="1"/>
  <c r="G2194" i="1"/>
  <c r="H2194" i="1"/>
  <c r="I2194" i="1"/>
  <c r="J2194" i="1"/>
  <c r="K2194" i="1"/>
  <c r="L2194" i="1"/>
  <c r="M2194" i="1"/>
  <c r="N2194" i="1"/>
  <c r="O2194" i="1"/>
  <c r="P2194" i="1"/>
  <c r="Q2194" i="1"/>
  <c r="A2195" i="1"/>
  <c r="B2195" i="1"/>
  <c r="C2195" i="1"/>
  <c r="D2195" i="1"/>
  <c r="E2195" i="1"/>
  <c r="F2195" i="1"/>
  <c r="G2195" i="1"/>
  <c r="H2195" i="1"/>
  <c r="I2195" i="1"/>
  <c r="J2195" i="1"/>
  <c r="K2195" i="1"/>
  <c r="L2195" i="1"/>
  <c r="M2195" i="1"/>
  <c r="N2195" i="1"/>
  <c r="O2195" i="1"/>
  <c r="P2195" i="1"/>
  <c r="Q2195" i="1"/>
  <c r="A2196" i="1"/>
  <c r="B2196" i="1"/>
  <c r="C2196" i="1"/>
  <c r="D2196" i="1"/>
  <c r="E2196" i="1"/>
  <c r="F2196" i="1"/>
  <c r="G2196" i="1"/>
  <c r="H2196" i="1"/>
  <c r="I2196" i="1"/>
  <c r="J2196" i="1"/>
  <c r="K2196" i="1"/>
  <c r="L2196" i="1"/>
  <c r="M2196" i="1"/>
  <c r="N2196" i="1"/>
  <c r="O2196" i="1"/>
  <c r="P2196" i="1"/>
  <c r="Q2196" i="1"/>
  <c r="A2197" i="1"/>
  <c r="B2197" i="1"/>
  <c r="C2197" i="1"/>
  <c r="E2197" i="1"/>
  <c r="F2197" i="1"/>
  <c r="G2197" i="1"/>
  <c r="H2197" i="1"/>
  <c r="I2197" i="1"/>
  <c r="J2197" i="1"/>
  <c r="K2197" i="1"/>
  <c r="L2197" i="1"/>
  <c r="M2197" i="1"/>
  <c r="N2197" i="1"/>
  <c r="O2197" i="1"/>
  <c r="P2197" i="1"/>
  <c r="Q2197" i="1"/>
  <c r="A2198" i="1"/>
  <c r="B2198" i="1"/>
  <c r="C2198" i="1"/>
  <c r="D2198" i="1"/>
  <c r="E2198" i="1"/>
  <c r="F2198" i="1"/>
  <c r="G2198" i="1"/>
  <c r="H2198" i="1"/>
  <c r="I2198" i="1"/>
  <c r="J2198" i="1"/>
  <c r="K2198" i="1"/>
  <c r="L2198" i="1"/>
  <c r="M2198" i="1"/>
  <c r="N2198" i="1"/>
  <c r="O2198" i="1"/>
  <c r="P2198" i="1"/>
  <c r="Q2198" i="1"/>
  <c r="A2199" i="1"/>
  <c r="B2199" i="1"/>
  <c r="C2199" i="1"/>
  <c r="D2199" i="1"/>
  <c r="E2199" i="1"/>
  <c r="F2199" i="1"/>
  <c r="G2199" i="1"/>
  <c r="H2199" i="1"/>
  <c r="I2199" i="1"/>
  <c r="J2199" i="1"/>
  <c r="K2199" i="1"/>
  <c r="L2199" i="1"/>
  <c r="M2199" i="1"/>
  <c r="N2199" i="1"/>
  <c r="O2199" i="1"/>
  <c r="P2199" i="1"/>
  <c r="Q2199" i="1"/>
  <c r="A2200" i="1"/>
  <c r="B2200" i="1"/>
  <c r="C2200" i="1"/>
  <c r="E2200" i="1"/>
  <c r="F2200" i="1"/>
  <c r="G2200" i="1"/>
  <c r="H2200" i="1"/>
  <c r="I2200" i="1"/>
  <c r="J2200" i="1"/>
  <c r="K2200" i="1"/>
  <c r="L2200" i="1"/>
  <c r="M2200" i="1"/>
  <c r="N2200" i="1"/>
  <c r="O2200" i="1"/>
  <c r="P2200" i="1"/>
  <c r="Q2200" i="1"/>
  <c r="A2201" i="1"/>
  <c r="B2201" i="1"/>
  <c r="C2201" i="1"/>
  <c r="E2201" i="1"/>
  <c r="F2201" i="1"/>
  <c r="G2201" i="1"/>
  <c r="H2201" i="1"/>
  <c r="I2201" i="1"/>
  <c r="J2201" i="1"/>
  <c r="K2201" i="1"/>
  <c r="L2201" i="1"/>
  <c r="M2201" i="1"/>
  <c r="N2201" i="1"/>
  <c r="O2201" i="1"/>
  <c r="P2201" i="1"/>
  <c r="Q2201" i="1"/>
  <c r="A2202" i="1"/>
  <c r="B2202" i="1"/>
  <c r="C2202" i="1"/>
  <c r="E2202" i="1"/>
  <c r="F2202" i="1"/>
  <c r="G2202" i="1"/>
  <c r="H2202" i="1"/>
  <c r="I2202" i="1"/>
  <c r="J2202" i="1"/>
  <c r="K2202" i="1"/>
  <c r="L2202" i="1"/>
  <c r="M2202" i="1"/>
  <c r="N2202" i="1"/>
  <c r="O2202" i="1"/>
  <c r="P2202" i="1"/>
  <c r="Q2202" i="1"/>
  <c r="A2203" i="1"/>
  <c r="B2203" i="1"/>
  <c r="C2203" i="1"/>
  <c r="E2203" i="1"/>
  <c r="F2203" i="1"/>
  <c r="G2203" i="1"/>
  <c r="H2203" i="1"/>
  <c r="I2203" i="1"/>
  <c r="J2203" i="1"/>
  <c r="K2203" i="1"/>
  <c r="L2203" i="1"/>
  <c r="M2203" i="1"/>
  <c r="N2203" i="1"/>
  <c r="O2203" i="1"/>
  <c r="P2203" i="1"/>
  <c r="Q2203" i="1"/>
  <c r="A2204" i="1"/>
  <c r="B2204" i="1"/>
  <c r="C2204" i="1"/>
  <c r="E2204" i="1"/>
  <c r="F2204" i="1"/>
  <c r="G2204" i="1"/>
  <c r="H2204" i="1"/>
  <c r="I2204" i="1"/>
  <c r="J2204" i="1"/>
  <c r="K2204" i="1"/>
  <c r="L2204" i="1"/>
  <c r="M2204" i="1"/>
  <c r="N2204" i="1"/>
  <c r="O2204" i="1"/>
  <c r="P2204" i="1"/>
  <c r="Q2204" i="1"/>
  <c r="A2205" i="1"/>
  <c r="B2205" i="1"/>
  <c r="C2205" i="1"/>
  <c r="D2205" i="1"/>
  <c r="E2205" i="1"/>
  <c r="F2205" i="1"/>
  <c r="G2205" i="1"/>
  <c r="H2205" i="1"/>
  <c r="I2205" i="1"/>
  <c r="J2205" i="1"/>
  <c r="K2205" i="1"/>
  <c r="L2205" i="1"/>
  <c r="M2205" i="1"/>
  <c r="N2205" i="1"/>
  <c r="O2205" i="1"/>
  <c r="P2205" i="1"/>
  <c r="Q2205" i="1"/>
  <c r="A2206" i="1"/>
  <c r="B2206" i="1"/>
  <c r="C2206" i="1"/>
  <c r="D2206" i="1"/>
  <c r="E2206" i="1"/>
  <c r="F2206" i="1"/>
  <c r="G2206" i="1"/>
  <c r="H2206" i="1"/>
  <c r="I2206" i="1"/>
  <c r="J2206" i="1"/>
  <c r="K2206" i="1"/>
  <c r="L2206" i="1"/>
  <c r="M2206" i="1"/>
  <c r="N2206" i="1"/>
  <c r="O2206" i="1"/>
  <c r="P2206" i="1"/>
  <c r="Q2206" i="1"/>
  <c r="A2207" i="1"/>
  <c r="B2207" i="1"/>
  <c r="E2207" i="1"/>
  <c r="F2207" i="1"/>
  <c r="G2207" i="1"/>
  <c r="H2207" i="1"/>
  <c r="I2207" i="1"/>
  <c r="J2207" i="1"/>
  <c r="K2207" i="1"/>
  <c r="L2207" i="1"/>
  <c r="M2207" i="1"/>
  <c r="N2207" i="1"/>
  <c r="O2207" i="1"/>
  <c r="P2207" i="1"/>
  <c r="Q2207" i="1"/>
  <c r="A2208" i="1"/>
  <c r="B2208" i="1"/>
  <c r="C2208" i="1"/>
  <c r="D2208" i="1"/>
  <c r="E2208" i="1"/>
  <c r="F2208" i="1"/>
  <c r="G2208" i="1"/>
  <c r="H2208" i="1"/>
  <c r="I2208" i="1"/>
  <c r="J2208" i="1"/>
  <c r="K2208" i="1"/>
  <c r="L2208" i="1"/>
  <c r="M2208" i="1"/>
  <c r="N2208" i="1"/>
  <c r="O2208" i="1"/>
  <c r="P2208" i="1"/>
  <c r="Q2208" i="1"/>
  <c r="A2209" i="1"/>
  <c r="B2209" i="1"/>
  <c r="C2209" i="1"/>
  <c r="D2209" i="1"/>
  <c r="E2209" i="1"/>
  <c r="F2209" i="1"/>
  <c r="G2209" i="1"/>
  <c r="H2209" i="1"/>
  <c r="I2209" i="1"/>
  <c r="J2209" i="1"/>
  <c r="K2209" i="1"/>
  <c r="L2209" i="1"/>
  <c r="M2209" i="1"/>
  <c r="N2209" i="1"/>
  <c r="O2209" i="1"/>
  <c r="P2209" i="1"/>
  <c r="Q2209" i="1"/>
  <c r="A2210" i="1"/>
  <c r="B2210" i="1"/>
  <c r="C2210" i="1"/>
  <c r="E2210" i="1"/>
  <c r="F2210" i="1"/>
  <c r="G2210" i="1"/>
  <c r="H2210" i="1"/>
  <c r="I2210" i="1"/>
  <c r="J2210" i="1"/>
  <c r="K2210" i="1"/>
  <c r="L2210" i="1"/>
  <c r="M2210" i="1"/>
  <c r="N2210" i="1"/>
  <c r="O2210" i="1"/>
  <c r="P2210" i="1"/>
  <c r="Q2210" i="1"/>
  <c r="A2211" i="1"/>
  <c r="B2211" i="1"/>
  <c r="C2211" i="1"/>
  <c r="D2211" i="1"/>
  <c r="E2211" i="1"/>
  <c r="F2211" i="1"/>
  <c r="G2211" i="1"/>
  <c r="H2211" i="1"/>
  <c r="I2211" i="1"/>
  <c r="J2211" i="1"/>
  <c r="K2211" i="1"/>
  <c r="L2211" i="1"/>
  <c r="M2211" i="1"/>
  <c r="N2211" i="1"/>
  <c r="O2211" i="1"/>
  <c r="P2211" i="1"/>
  <c r="Q2211" i="1"/>
  <c r="A2212" i="1"/>
  <c r="B2212" i="1"/>
  <c r="C2212" i="1"/>
  <c r="D2212" i="1"/>
  <c r="E2212" i="1"/>
  <c r="F2212" i="1"/>
  <c r="G2212" i="1"/>
  <c r="H2212" i="1"/>
  <c r="I2212" i="1"/>
  <c r="J2212" i="1"/>
  <c r="K2212" i="1"/>
  <c r="L2212" i="1"/>
  <c r="M2212" i="1"/>
  <c r="N2212" i="1"/>
  <c r="O2212" i="1"/>
  <c r="P2212" i="1"/>
  <c r="Q2212" i="1"/>
  <c r="A2213" i="1"/>
  <c r="B2213" i="1"/>
  <c r="C2213" i="1"/>
  <c r="E2213" i="1"/>
  <c r="F2213" i="1"/>
  <c r="G2213" i="1"/>
  <c r="H2213" i="1"/>
  <c r="I2213" i="1"/>
  <c r="J2213" i="1"/>
  <c r="K2213" i="1"/>
  <c r="L2213" i="1"/>
  <c r="M2213" i="1"/>
  <c r="N2213" i="1"/>
  <c r="O2213" i="1"/>
  <c r="P2213" i="1"/>
  <c r="Q2213" i="1"/>
  <c r="A2214" i="1"/>
  <c r="B2214" i="1"/>
  <c r="C2214" i="1"/>
  <c r="D2214" i="1"/>
  <c r="E2214" i="1"/>
  <c r="F2214" i="1"/>
  <c r="G2214" i="1"/>
  <c r="H2214" i="1"/>
  <c r="I2214" i="1"/>
  <c r="J2214" i="1"/>
  <c r="K2214" i="1"/>
  <c r="L2214" i="1"/>
  <c r="M2214" i="1"/>
  <c r="N2214" i="1"/>
  <c r="O2214" i="1"/>
  <c r="P2214" i="1"/>
  <c r="Q2214" i="1"/>
  <c r="A2215" i="1"/>
  <c r="B2215" i="1"/>
  <c r="C2215" i="1"/>
  <c r="D2215" i="1"/>
  <c r="E2215" i="1"/>
  <c r="F2215" i="1"/>
  <c r="G2215" i="1"/>
  <c r="H2215" i="1"/>
  <c r="I2215" i="1"/>
  <c r="J2215" i="1"/>
  <c r="K2215" i="1"/>
  <c r="L2215" i="1"/>
  <c r="M2215" i="1"/>
  <c r="N2215" i="1"/>
  <c r="O2215" i="1"/>
  <c r="P2215" i="1"/>
  <c r="Q2215" i="1"/>
  <c r="A2216" i="1"/>
  <c r="B2216" i="1"/>
  <c r="C2216" i="1"/>
  <c r="E2216" i="1"/>
  <c r="F2216" i="1"/>
  <c r="G2216" i="1"/>
  <c r="H2216" i="1"/>
  <c r="I2216" i="1"/>
  <c r="J2216" i="1"/>
  <c r="K2216" i="1"/>
  <c r="L2216" i="1"/>
  <c r="M2216" i="1"/>
  <c r="N2216" i="1"/>
  <c r="O2216" i="1"/>
  <c r="P2216" i="1"/>
  <c r="Q2216" i="1"/>
  <c r="A2217" i="1"/>
  <c r="B2217" i="1"/>
  <c r="C2217" i="1"/>
  <c r="D2217" i="1"/>
  <c r="E2217" i="1"/>
  <c r="F2217" i="1"/>
  <c r="G2217" i="1"/>
  <c r="H2217" i="1"/>
  <c r="I2217" i="1"/>
  <c r="J2217" i="1"/>
  <c r="K2217" i="1"/>
  <c r="L2217" i="1"/>
  <c r="M2217" i="1"/>
  <c r="N2217" i="1"/>
  <c r="O2217" i="1"/>
  <c r="P2217" i="1"/>
  <c r="Q2217" i="1"/>
  <c r="A2218" i="1"/>
  <c r="B2218" i="1"/>
  <c r="C2218" i="1"/>
  <c r="D2218" i="1"/>
  <c r="E2218" i="1"/>
  <c r="F2218" i="1"/>
  <c r="G2218" i="1"/>
  <c r="H2218" i="1"/>
  <c r="I2218" i="1"/>
  <c r="J2218" i="1"/>
  <c r="K2218" i="1"/>
  <c r="L2218" i="1"/>
  <c r="M2218" i="1"/>
  <c r="N2218" i="1"/>
  <c r="O2218" i="1"/>
  <c r="P2218" i="1"/>
  <c r="Q2218" i="1"/>
  <c r="A2219" i="1"/>
  <c r="B2219" i="1"/>
  <c r="C2219" i="1"/>
  <c r="D2219" i="1"/>
  <c r="E2219" i="1"/>
  <c r="F2219" i="1"/>
  <c r="G2219" i="1"/>
  <c r="H2219" i="1"/>
  <c r="I2219" i="1"/>
  <c r="J2219" i="1"/>
  <c r="K2219" i="1"/>
  <c r="L2219" i="1"/>
  <c r="M2219" i="1"/>
  <c r="N2219" i="1"/>
  <c r="O2219" i="1"/>
  <c r="P2219" i="1"/>
  <c r="Q2219" i="1"/>
  <c r="A2220" i="1"/>
  <c r="B2220" i="1"/>
  <c r="C2220" i="1"/>
  <c r="D2220" i="1"/>
  <c r="E2220" i="1"/>
  <c r="F2220" i="1"/>
  <c r="G2220" i="1"/>
  <c r="H2220" i="1"/>
  <c r="I2220" i="1"/>
  <c r="J2220" i="1"/>
  <c r="K2220" i="1"/>
  <c r="L2220" i="1"/>
  <c r="M2220" i="1"/>
  <c r="N2220" i="1"/>
  <c r="O2220" i="1"/>
  <c r="P2220" i="1"/>
  <c r="Q2220" i="1"/>
  <c r="A2221" i="1"/>
  <c r="B2221" i="1"/>
  <c r="C2221" i="1"/>
  <c r="D2221" i="1"/>
  <c r="E2221" i="1"/>
  <c r="F2221" i="1"/>
  <c r="G2221" i="1"/>
  <c r="H2221" i="1"/>
  <c r="I2221" i="1"/>
  <c r="J2221" i="1"/>
  <c r="K2221" i="1"/>
  <c r="L2221" i="1"/>
  <c r="M2221" i="1"/>
  <c r="N2221" i="1"/>
  <c r="O2221" i="1"/>
  <c r="P2221" i="1"/>
  <c r="Q2221" i="1"/>
  <c r="A2222" i="1"/>
  <c r="B2222" i="1"/>
  <c r="C2222" i="1"/>
  <c r="D2222" i="1"/>
  <c r="E2222" i="1"/>
  <c r="F2222" i="1"/>
  <c r="G2222" i="1"/>
  <c r="H2222" i="1"/>
  <c r="I2222" i="1"/>
  <c r="J2222" i="1"/>
  <c r="K2222" i="1"/>
  <c r="L2222" i="1"/>
  <c r="M2222" i="1"/>
  <c r="N2222" i="1"/>
  <c r="O2222" i="1"/>
  <c r="P2222" i="1"/>
  <c r="Q2222" i="1"/>
  <c r="A2223" i="1"/>
  <c r="B2223" i="1"/>
  <c r="C2223" i="1"/>
  <c r="D2223" i="1"/>
  <c r="E2223" i="1"/>
  <c r="F2223" i="1"/>
  <c r="G2223" i="1"/>
  <c r="H2223" i="1"/>
  <c r="I2223" i="1"/>
  <c r="J2223" i="1"/>
  <c r="K2223" i="1"/>
  <c r="L2223" i="1"/>
  <c r="M2223" i="1"/>
  <c r="N2223" i="1"/>
  <c r="O2223" i="1"/>
  <c r="P2223" i="1"/>
  <c r="Q2223" i="1"/>
  <c r="A2224" i="1"/>
  <c r="B2224" i="1"/>
  <c r="C2224" i="1"/>
  <c r="E2224" i="1"/>
  <c r="F2224" i="1"/>
  <c r="G2224" i="1"/>
  <c r="H2224" i="1"/>
  <c r="I2224" i="1"/>
  <c r="J2224" i="1"/>
  <c r="K2224" i="1"/>
  <c r="L2224" i="1"/>
  <c r="M2224" i="1"/>
  <c r="N2224" i="1"/>
  <c r="O2224" i="1"/>
  <c r="P2224" i="1"/>
  <c r="Q2224" i="1"/>
  <c r="A2225" i="1"/>
  <c r="B2225" i="1"/>
  <c r="C2225" i="1"/>
  <c r="D2225" i="1"/>
  <c r="E2225" i="1"/>
  <c r="F2225" i="1"/>
  <c r="G2225" i="1"/>
  <c r="H2225" i="1"/>
  <c r="I2225" i="1"/>
  <c r="J2225" i="1"/>
  <c r="K2225" i="1"/>
  <c r="L2225" i="1"/>
  <c r="M2225" i="1"/>
  <c r="N2225" i="1"/>
  <c r="O2225" i="1"/>
  <c r="P2225" i="1"/>
  <c r="Q2225" i="1"/>
  <c r="A2226" i="1"/>
  <c r="B2226" i="1"/>
  <c r="C2226" i="1"/>
  <c r="D2226" i="1"/>
  <c r="E2226" i="1"/>
  <c r="F2226" i="1"/>
  <c r="G2226" i="1"/>
  <c r="H2226" i="1"/>
  <c r="I2226" i="1"/>
  <c r="J2226" i="1"/>
  <c r="K2226" i="1"/>
  <c r="L2226" i="1"/>
  <c r="M2226" i="1"/>
  <c r="N2226" i="1"/>
  <c r="O2226" i="1"/>
  <c r="P2226" i="1"/>
  <c r="Q2226" i="1"/>
  <c r="A2227" i="1"/>
  <c r="B2227" i="1"/>
  <c r="C2227" i="1"/>
  <c r="D2227" i="1"/>
  <c r="E2227" i="1"/>
  <c r="F2227" i="1"/>
  <c r="G2227" i="1"/>
  <c r="H2227" i="1"/>
  <c r="I2227" i="1"/>
  <c r="J2227" i="1"/>
  <c r="K2227" i="1"/>
  <c r="L2227" i="1"/>
  <c r="M2227" i="1"/>
  <c r="N2227" i="1"/>
  <c r="O2227" i="1"/>
  <c r="P2227" i="1"/>
  <c r="Q2227" i="1"/>
  <c r="A2228" i="1"/>
  <c r="B2228" i="1"/>
  <c r="C2228" i="1"/>
  <c r="D2228" i="1"/>
  <c r="E2228" i="1"/>
  <c r="F2228" i="1"/>
  <c r="G2228" i="1"/>
  <c r="H2228" i="1"/>
  <c r="I2228" i="1"/>
  <c r="J2228" i="1"/>
  <c r="K2228" i="1"/>
  <c r="L2228" i="1"/>
  <c r="M2228" i="1"/>
  <c r="N2228" i="1"/>
  <c r="O2228" i="1"/>
  <c r="P2228" i="1"/>
  <c r="Q2228" i="1"/>
  <c r="A2229" i="1"/>
  <c r="B2229" i="1"/>
  <c r="C2229" i="1"/>
  <c r="D2229" i="1"/>
  <c r="E2229" i="1"/>
  <c r="F2229" i="1"/>
  <c r="G2229" i="1"/>
  <c r="H2229" i="1"/>
  <c r="I2229" i="1"/>
  <c r="J2229" i="1"/>
  <c r="K2229" i="1"/>
  <c r="L2229" i="1"/>
  <c r="M2229" i="1"/>
  <c r="N2229" i="1"/>
  <c r="O2229" i="1"/>
  <c r="P2229" i="1"/>
  <c r="Q2229" i="1"/>
  <c r="A2230" i="1"/>
  <c r="B2230" i="1"/>
  <c r="C2230" i="1"/>
  <c r="D2230" i="1"/>
  <c r="E2230" i="1"/>
  <c r="F2230" i="1"/>
  <c r="G2230" i="1"/>
  <c r="H2230" i="1"/>
  <c r="I2230" i="1"/>
  <c r="J2230" i="1"/>
  <c r="K2230" i="1"/>
  <c r="L2230" i="1"/>
  <c r="M2230" i="1"/>
  <c r="N2230" i="1"/>
  <c r="O2230" i="1"/>
  <c r="P2230" i="1"/>
  <c r="Q2230" i="1"/>
  <c r="A2231" i="1"/>
  <c r="B2231" i="1"/>
  <c r="C2231" i="1"/>
  <c r="D2231" i="1"/>
  <c r="E2231" i="1"/>
  <c r="F2231" i="1"/>
  <c r="G2231" i="1"/>
  <c r="H2231" i="1"/>
  <c r="I2231" i="1"/>
  <c r="J2231" i="1"/>
  <c r="K2231" i="1"/>
  <c r="L2231" i="1"/>
  <c r="M2231" i="1"/>
  <c r="N2231" i="1"/>
  <c r="O2231" i="1"/>
  <c r="P2231" i="1"/>
  <c r="Q2231" i="1"/>
  <c r="A2232" i="1"/>
  <c r="B2232" i="1"/>
  <c r="C2232" i="1"/>
  <c r="E2232" i="1"/>
  <c r="F2232" i="1"/>
  <c r="G2232" i="1"/>
  <c r="H2232" i="1"/>
  <c r="I2232" i="1"/>
  <c r="J2232" i="1"/>
  <c r="K2232" i="1"/>
  <c r="L2232" i="1"/>
  <c r="M2232" i="1"/>
  <c r="N2232" i="1"/>
  <c r="O2232" i="1"/>
  <c r="P2232" i="1"/>
  <c r="Q2232" i="1"/>
  <c r="A2233" i="1"/>
  <c r="B2233" i="1"/>
  <c r="C2233" i="1"/>
  <c r="E2233" i="1"/>
  <c r="F2233" i="1"/>
  <c r="G2233" i="1"/>
  <c r="H2233" i="1"/>
  <c r="I2233" i="1"/>
  <c r="J2233" i="1"/>
  <c r="K2233" i="1"/>
  <c r="L2233" i="1"/>
  <c r="M2233" i="1"/>
  <c r="N2233" i="1"/>
  <c r="O2233" i="1"/>
  <c r="P2233" i="1"/>
  <c r="Q2233" i="1"/>
  <c r="A2234" i="1"/>
  <c r="B2234" i="1"/>
  <c r="C2234" i="1"/>
  <c r="D2234" i="1"/>
  <c r="E2234" i="1"/>
  <c r="F2234" i="1"/>
  <c r="G2234" i="1"/>
  <c r="H2234" i="1"/>
  <c r="I2234" i="1"/>
  <c r="J2234" i="1"/>
  <c r="K2234" i="1"/>
  <c r="L2234" i="1"/>
  <c r="M2234" i="1"/>
  <c r="N2234" i="1"/>
  <c r="O2234" i="1"/>
  <c r="P2234" i="1"/>
  <c r="Q2234" i="1"/>
  <c r="A2235" i="1"/>
  <c r="B2235" i="1"/>
  <c r="E2235" i="1"/>
  <c r="F2235" i="1"/>
  <c r="G2235" i="1"/>
  <c r="H2235" i="1"/>
  <c r="I2235" i="1"/>
  <c r="J2235" i="1"/>
  <c r="K2235" i="1"/>
  <c r="L2235" i="1"/>
  <c r="M2235" i="1"/>
  <c r="N2235" i="1"/>
  <c r="O2235" i="1"/>
  <c r="P2235" i="1"/>
  <c r="Q2235" i="1"/>
  <c r="A2236" i="1"/>
  <c r="B2236" i="1"/>
  <c r="C2236" i="1"/>
  <c r="E2236" i="1"/>
  <c r="F2236" i="1"/>
  <c r="G2236" i="1"/>
  <c r="H2236" i="1"/>
  <c r="I2236" i="1"/>
  <c r="J2236" i="1"/>
  <c r="K2236" i="1"/>
  <c r="L2236" i="1"/>
  <c r="M2236" i="1"/>
  <c r="N2236" i="1"/>
  <c r="O2236" i="1"/>
  <c r="P2236" i="1"/>
  <c r="Q2236" i="1"/>
  <c r="A2237" i="1"/>
  <c r="B2237" i="1"/>
  <c r="E2237" i="1"/>
  <c r="F2237" i="1"/>
  <c r="G2237" i="1"/>
  <c r="H2237" i="1"/>
  <c r="I2237" i="1"/>
  <c r="J2237" i="1"/>
  <c r="K2237" i="1"/>
  <c r="L2237" i="1"/>
  <c r="M2237" i="1"/>
  <c r="N2237" i="1"/>
  <c r="O2237" i="1"/>
  <c r="P2237" i="1"/>
  <c r="Q2237" i="1"/>
  <c r="A2238" i="1"/>
  <c r="B2238" i="1"/>
  <c r="C2238" i="1"/>
  <c r="D2238" i="1"/>
  <c r="E2238" i="1"/>
  <c r="F2238" i="1"/>
  <c r="G2238" i="1"/>
  <c r="H2238" i="1"/>
  <c r="I2238" i="1"/>
  <c r="J2238" i="1"/>
  <c r="K2238" i="1"/>
  <c r="L2238" i="1"/>
  <c r="M2238" i="1"/>
  <c r="N2238" i="1"/>
  <c r="O2238" i="1"/>
  <c r="P2238" i="1"/>
  <c r="Q2238" i="1"/>
  <c r="A2239" i="1"/>
  <c r="B2239" i="1"/>
  <c r="E2239" i="1"/>
  <c r="F2239" i="1"/>
  <c r="G2239" i="1"/>
  <c r="H2239" i="1"/>
  <c r="I2239" i="1"/>
  <c r="J2239" i="1"/>
  <c r="K2239" i="1"/>
  <c r="L2239" i="1"/>
  <c r="M2239" i="1"/>
  <c r="N2239" i="1"/>
  <c r="O2239" i="1"/>
  <c r="P2239" i="1"/>
  <c r="Q2239" i="1"/>
  <c r="A2240" i="1"/>
  <c r="B2240" i="1"/>
  <c r="D2240" i="1"/>
  <c r="E2240" i="1"/>
  <c r="F2240" i="1"/>
  <c r="G2240" i="1"/>
  <c r="H2240" i="1"/>
  <c r="I2240" i="1"/>
  <c r="J2240" i="1"/>
  <c r="K2240" i="1"/>
  <c r="L2240" i="1"/>
  <c r="M2240" i="1"/>
  <c r="N2240" i="1"/>
  <c r="O2240" i="1"/>
  <c r="P2240" i="1"/>
  <c r="Q2240" i="1"/>
  <c r="A2241" i="1"/>
  <c r="B2241" i="1"/>
  <c r="E2241" i="1"/>
  <c r="F2241" i="1"/>
  <c r="G2241" i="1"/>
  <c r="H2241" i="1"/>
  <c r="I2241" i="1"/>
  <c r="J2241" i="1"/>
  <c r="K2241" i="1"/>
  <c r="L2241" i="1"/>
  <c r="M2241" i="1"/>
  <c r="N2241" i="1"/>
  <c r="O2241" i="1"/>
  <c r="P2241" i="1"/>
  <c r="Q2241" i="1"/>
  <c r="A2242" i="1"/>
  <c r="B2242" i="1"/>
  <c r="D2242" i="1"/>
  <c r="E2242" i="1"/>
  <c r="F2242" i="1"/>
  <c r="G2242" i="1"/>
  <c r="H2242" i="1"/>
  <c r="I2242" i="1"/>
  <c r="J2242" i="1"/>
  <c r="K2242" i="1"/>
  <c r="L2242" i="1"/>
  <c r="M2242" i="1"/>
  <c r="N2242" i="1"/>
  <c r="O2242" i="1"/>
  <c r="P2242" i="1"/>
  <c r="Q2242" i="1"/>
  <c r="A2243" i="1"/>
  <c r="B2243" i="1"/>
  <c r="C2243" i="1"/>
  <c r="E2243" i="1"/>
  <c r="F2243" i="1"/>
  <c r="G2243" i="1"/>
  <c r="H2243" i="1"/>
  <c r="I2243" i="1"/>
  <c r="J2243" i="1"/>
  <c r="K2243" i="1"/>
  <c r="L2243" i="1"/>
  <c r="M2243" i="1"/>
  <c r="N2243" i="1"/>
  <c r="O2243" i="1"/>
  <c r="P2243" i="1"/>
  <c r="Q2243" i="1"/>
  <c r="A2244" i="1"/>
  <c r="B2244" i="1"/>
  <c r="D2244" i="1"/>
  <c r="E2244" i="1"/>
  <c r="F2244" i="1"/>
  <c r="G2244" i="1"/>
  <c r="H2244" i="1"/>
  <c r="I2244" i="1"/>
  <c r="J2244" i="1"/>
  <c r="K2244" i="1"/>
  <c r="L2244" i="1"/>
  <c r="M2244" i="1"/>
  <c r="N2244" i="1"/>
  <c r="O2244" i="1"/>
  <c r="P2244" i="1"/>
  <c r="Q2244" i="1"/>
  <c r="A2245" i="1"/>
  <c r="B2245" i="1"/>
  <c r="D2245" i="1"/>
  <c r="E2245" i="1"/>
  <c r="F2245" i="1"/>
  <c r="G2245" i="1"/>
  <c r="H2245" i="1"/>
  <c r="I2245" i="1"/>
  <c r="J2245" i="1"/>
  <c r="K2245" i="1"/>
  <c r="L2245" i="1"/>
  <c r="M2245" i="1"/>
  <c r="N2245" i="1"/>
  <c r="O2245" i="1"/>
  <c r="P2245" i="1"/>
  <c r="Q2245" i="1"/>
  <c r="A2246" i="1"/>
  <c r="B2246" i="1"/>
  <c r="C2246" i="1"/>
  <c r="D2246" i="1"/>
  <c r="E2246" i="1"/>
  <c r="F2246" i="1"/>
  <c r="G2246" i="1"/>
  <c r="H2246" i="1"/>
  <c r="I2246" i="1"/>
  <c r="J2246" i="1"/>
  <c r="K2246" i="1"/>
  <c r="L2246" i="1"/>
  <c r="M2246" i="1"/>
  <c r="N2246" i="1"/>
  <c r="O2246" i="1"/>
  <c r="P2246" i="1"/>
  <c r="Q2246" i="1"/>
  <c r="A2247" i="1"/>
  <c r="B2247" i="1"/>
  <c r="D2247" i="1"/>
  <c r="E2247" i="1"/>
  <c r="F2247" i="1"/>
  <c r="G2247" i="1"/>
  <c r="H2247" i="1"/>
  <c r="I2247" i="1"/>
  <c r="J2247" i="1"/>
  <c r="K2247" i="1"/>
  <c r="L2247" i="1"/>
  <c r="M2247" i="1"/>
  <c r="N2247" i="1"/>
  <c r="O2247" i="1"/>
  <c r="P2247" i="1"/>
  <c r="Q2247" i="1"/>
  <c r="A2248" i="1"/>
  <c r="B2248" i="1"/>
  <c r="C2248" i="1"/>
  <c r="E2248" i="1"/>
  <c r="F2248" i="1"/>
  <c r="G2248" i="1"/>
  <c r="H2248" i="1"/>
  <c r="I2248" i="1"/>
  <c r="J2248" i="1"/>
  <c r="K2248" i="1"/>
  <c r="L2248" i="1"/>
  <c r="M2248" i="1"/>
  <c r="N2248" i="1"/>
  <c r="O2248" i="1"/>
  <c r="P2248" i="1"/>
  <c r="Q2248" i="1"/>
  <c r="A2249" i="1"/>
  <c r="B2249" i="1"/>
  <c r="C2249" i="1"/>
  <c r="D2249" i="1"/>
  <c r="E2249" i="1"/>
  <c r="F2249" i="1"/>
  <c r="G2249" i="1"/>
  <c r="H2249" i="1"/>
  <c r="I2249" i="1"/>
  <c r="J2249" i="1"/>
  <c r="K2249" i="1"/>
  <c r="L2249" i="1"/>
  <c r="M2249" i="1"/>
  <c r="N2249" i="1"/>
  <c r="O2249" i="1"/>
  <c r="P2249" i="1"/>
  <c r="Q2249" i="1"/>
  <c r="A2250" i="1"/>
  <c r="B2250" i="1"/>
  <c r="E2250" i="1"/>
  <c r="F2250" i="1"/>
  <c r="G2250" i="1"/>
  <c r="H2250" i="1"/>
  <c r="I2250" i="1"/>
  <c r="J2250" i="1"/>
  <c r="K2250" i="1"/>
  <c r="L2250" i="1"/>
  <c r="M2250" i="1"/>
  <c r="N2250" i="1"/>
  <c r="O2250" i="1"/>
  <c r="P2250" i="1"/>
  <c r="Q2250" i="1"/>
  <c r="A2251" i="1"/>
  <c r="B2251" i="1"/>
  <c r="E2251" i="1"/>
  <c r="F2251" i="1"/>
  <c r="G2251" i="1"/>
  <c r="H2251" i="1"/>
  <c r="I2251" i="1"/>
  <c r="J2251" i="1"/>
  <c r="K2251" i="1"/>
  <c r="L2251" i="1"/>
  <c r="M2251" i="1"/>
  <c r="N2251" i="1"/>
  <c r="O2251" i="1"/>
  <c r="P2251" i="1"/>
  <c r="Q2251" i="1"/>
  <c r="A2252" i="1"/>
  <c r="B2252" i="1"/>
  <c r="D2252" i="1"/>
  <c r="E2252" i="1"/>
  <c r="F2252" i="1"/>
  <c r="G2252" i="1"/>
  <c r="H2252" i="1"/>
  <c r="I2252" i="1"/>
  <c r="J2252" i="1"/>
  <c r="K2252" i="1"/>
  <c r="L2252" i="1"/>
  <c r="M2252" i="1"/>
  <c r="N2252" i="1"/>
  <c r="O2252" i="1"/>
  <c r="P2252" i="1"/>
  <c r="Q2252" i="1"/>
  <c r="A2253" i="1"/>
  <c r="B2253" i="1"/>
  <c r="E2253" i="1"/>
  <c r="F2253" i="1"/>
  <c r="G2253" i="1"/>
  <c r="H2253" i="1"/>
  <c r="I2253" i="1"/>
  <c r="J2253" i="1"/>
  <c r="K2253" i="1"/>
  <c r="L2253" i="1"/>
  <c r="M2253" i="1"/>
  <c r="N2253" i="1"/>
  <c r="O2253" i="1"/>
  <c r="P2253" i="1"/>
  <c r="Q2253" i="1"/>
  <c r="A2254" i="1"/>
  <c r="B2254" i="1"/>
  <c r="E2254" i="1"/>
  <c r="F2254" i="1"/>
  <c r="G2254" i="1"/>
  <c r="H2254" i="1"/>
  <c r="I2254" i="1"/>
  <c r="J2254" i="1"/>
  <c r="K2254" i="1"/>
  <c r="L2254" i="1"/>
  <c r="M2254" i="1"/>
  <c r="N2254" i="1"/>
  <c r="O2254" i="1"/>
  <c r="P2254" i="1"/>
  <c r="Q2254" i="1"/>
  <c r="A2255" i="1"/>
  <c r="B2255" i="1"/>
  <c r="D2255" i="1"/>
  <c r="E2255" i="1"/>
  <c r="F2255" i="1"/>
  <c r="G2255" i="1"/>
  <c r="H2255" i="1"/>
  <c r="I2255" i="1"/>
  <c r="J2255" i="1"/>
  <c r="K2255" i="1"/>
  <c r="L2255" i="1"/>
  <c r="M2255" i="1"/>
  <c r="N2255" i="1"/>
  <c r="O2255" i="1"/>
  <c r="P2255" i="1"/>
  <c r="Q2255" i="1"/>
  <c r="A2256" i="1"/>
  <c r="B2256" i="1"/>
  <c r="D2256" i="1"/>
  <c r="E2256" i="1"/>
  <c r="F2256" i="1"/>
  <c r="G2256" i="1"/>
  <c r="H2256" i="1"/>
  <c r="I2256" i="1"/>
  <c r="J2256" i="1"/>
  <c r="K2256" i="1"/>
  <c r="L2256" i="1"/>
  <c r="M2256" i="1"/>
  <c r="N2256" i="1"/>
  <c r="O2256" i="1"/>
  <c r="P2256" i="1"/>
  <c r="Q2256" i="1"/>
  <c r="A2257" i="1"/>
  <c r="B2257" i="1"/>
  <c r="D2257" i="1"/>
  <c r="E2257" i="1"/>
  <c r="F2257" i="1"/>
  <c r="G2257" i="1"/>
  <c r="H2257" i="1"/>
  <c r="I2257" i="1"/>
  <c r="J2257" i="1"/>
  <c r="K2257" i="1"/>
  <c r="L2257" i="1"/>
  <c r="M2257" i="1"/>
  <c r="N2257" i="1"/>
  <c r="O2257" i="1"/>
  <c r="P2257" i="1"/>
  <c r="Q2257" i="1"/>
  <c r="A2258" i="1"/>
  <c r="B2258" i="1"/>
  <c r="C2258" i="1"/>
  <c r="D2258" i="1"/>
  <c r="E2258" i="1"/>
  <c r="F2258" i="1"/>
  <c r="G2258" i="1"/>
  <c r="H2258" i="1"/>
  <c r="I2258" i="1"/>
  <c r="J2258" i="1"/>
  <c r="K2258" i="1"/>
  <c r="L2258" i="1"/>
  <c r="M2258" i="1"/>
  <c r="N2258" i="1"/>
  <c r="O2258" i="1"/>
  <c r="P2258" i="1"/>
  <c r="Q2258" i="1"/>
  <c r="A2259" i="1"/>
  <c r="B2259" i="1"/>
  <c r="C2259" i="1"/>
  <c r="D2259" i="1"/>
  <c r="E2259" i="1"/>
  <c r="F2259" i="1"/>
  <c r="G2259" i="1"/>
  <c r="H2259" i="1"/>
  <c r="I2259" i="1"/>
  <c r="J2259" i="1"/>
  <c r="K2259" i="1"/>
  <c r="L2259" i="1"/>
  <c r="M2259" i="1"/>
  <c r="N2259" i="1"/>
  <c r="O2259" i="1"/>
  <c r="P2259" i="1"/>
  <c r="Q2259" i="1"/>
  <c r="A2260" i="1"/>
  <c r="B2260" i="1"/>
  <c r="C2260" i="1"/>
  <c r="E2260" i="1"/>
  <c r="F2260" i="1"/>
  <c r="G2260" i="1"/>
  <c r="H2260" i="1"/>
  <c r="I2260" i="1"/>
  <c r="J2260" i="1"/>
  <c r="K2260" i="1"/>
  <c r="L2260" i="1"/>
  <c r="M2260" i="1"/>
  <c r="N2260" i="1"/>
  <c r="O2260" i="1"/>
  <c r="P2260" i="1"/>
  <c r="Q2260" i="1"/>
  <c r="A2261" i="1"/>
  <c r="B2261" i="1"/>
  <c r="E2261" i="1"/>
  <c r="F2261" i="1"/>
  <c r="G2261" i="1"/>
  <c r="H2261" i="1"/>
  <c r="I2261" i="1"/>
  <c r="J2261" i="1"/>
  <c r="K2261" i="1"/>
  <c r="L2261" i="1"/>
  <c r="M2261" i="1"/>
  <c r="N2261" i="1"/>
  <c r="O2261" i="1"/>
  <c r="P2261" i="1"/>
  <c r="Q2261" i="1"/>
  <c r="A2262" i="1"/>
  <c r="B2262" i="1"/>
  <c r="C2262" i="1"/>
  <c r="E2262" i="1"/>
  <c r="F2262" i="1"/>
  <c r="G2262" i="1"/>
  <c r="H2262" i="1"/>
  <c r="I2262" i="1"/>
  <c r="J2262" i="1"/>
  <c r="K2262" i="1"/>
  <c r="L2262" i="1"/>
  <c r="M2262" i="1"/>
  <c r="N2262" i="1"/>
  <c r="O2262" i="1"/>
  <c r="P2262" i="1"/>
  <c r="Q2262" i="1"/>
  <c r="A2263" i="1"/>
  <c r="B2263" i="1"/>
  <c r="C2263" i="1"/>
  <c r="E2263" i="1"/>
  <c r="F2263" i="1"/>
  <c r="G2263" i="1"/>
  <c r="H2263" i="1"/>
  <c r="I2263" i="1"/>
  <c r="J2263" i="1"/>
  <c r="K2263" i="1"/>
  <c r="L2263" i="1"/>
  <c r="M2263" i="1"/>
  <c r="N2263" i="1"/>
  <c r="O2263" i="1"/>
  <c r="P2263" i="1"/>
  <c r="Q2263" i="1"/>
  <c r="A2264" i="1"/>
  <c r="B2264" i="1"/>
  <c r="C2264" i="1"/>
  <c r="E2264" i="1"/>
  <c r="F2264" i="1"/>
  <c r="G2264" i="1"/>
  <c r="H2264" i="1"/>
  <c r="I2264" i="1"/>
  <c r="J2264" i="1"/>
  <c r="K2264" i="1"/>
  <c r="L2264" i="1"/>
  <c r="M2264" i="1"/>
  <c r="N2264" i="1"/>
  <c r="O2264" i="1"/>
  <c r="P2264" i="1"/>
  <c r="Q2264" i="1"/>
  <c r="A2265" i="1"/>
  <c r="B2265" i="1"/>
  <c r="C2265" i="1"/>
  <c r="E2265" i="1"/>
  <c r="F2265" i="1"/>
  <c r="G2265" i="1"/>
  <c r="H2265" i="1"/>
  <c r="I2265" i="1"/>
  <c r="J2265" i="1"/>
  <c r="K2265" i="1"/>
  <c r="L2265" i="1"/>
  <c r="M2265" i="1"/>
  <c r="N2265" i="1"/>
  <c r="O2265" i="1"/>
  <c r="P2265" i="1"/>
  <c r="Q2265" i="1"/>
  <c r="A2266" i="1"/>
  <c r="B2266" i="1"/>
  <c r="C2266" i="1"/>
  <c r="E2266" i="1"/>
  <c r="F2266" i="1"/>
  <c r="G2266" i="1"/>
  <c r="H2266" i="1"/>
  <c r="I2266" i="1"/>
  <c r="J2266" i="1"/>
  <c r="K2266" i="1"/>
  <c r="L2266" i="1"/>
  <c r="M2266" i="1"/>
  <c r="N2266" i="1"/>
  <c r="O2266" i="1"/>
  <c r="P2266" i="1"/>
  <c r="Q2266" i="1"/>
  <c r="A2267" i="1"/>
  <c r="B2267" i="1"/>
  <c r="C2267" i="1"/>
  <c r="D2267" i="1"/>
  <c r="E2267" i="1"/>
  <c r="F2267" i="1"/>
  <c r="G2267" i="1"/>
  <c r="H2267" i="1"/>
  <c r="I2267" i="1"/>
  <c r="J2267" i="1"/>
  <c r="K2267" i="1"/>
  <c r="L2267" i="1"/>
  <c r="M2267" i="1"/>
  <c r="N2267" i="1"/>
  <c r="O2267" i="1"/>
  <c r="P2267" i="1"/>
  <c r="Q2267" i="1"/>
  <c r="A2268" i="1"/>
  <c r="B2268" i="1"/>
  <c r="D2268" i="1"/>
  <c r="E2268" i="1"/>
  <c r="F2268" i="1"/>
  <c r="G2268" i="1"/>
  <c r="H2268" i="1"/>
  <c r="I2268" i="1"/>
  <c r="J2268" i="1"/>
  <c r="K2268" i="1"/>
  <c r="L2268" i="1"/>
  <c r="M2268" i="1"/>
  <c r="N2268" i="1"/>
  <c r="O2268" i="1"/>
  <c r="P2268" i="1"/>
  <c r="Q2268" i="1"/>
  <c r="A2269" i="1"/>
  <c r="B2269" i="1"/>
  <c r="D2269" i="1"/>
  <c r="E2269" i="1"/>
  <c r="F2269" i="1"/>
  <c r="G2269" i="1"/>
  <c r="H2269" i="1"/>
  <c r="I2269" i="1"/>
  <c r="J2269" i="1"/>
  <c r="K2269" i="1"/>
  <c r="L2269" i="1"/>
  <c r="M2269" i="1"/>
  <c r="N2269" i="1"/>
  <c r="O2269" i="1"/>
  <c r="P2269" i="1"/>
  <c r="Q2269" i="1"/>
  <c r="A2270" i="1"/>
  <c r="B2270" i="1"/>
  <c r="E2270" i="1"/>
  <c r="F2270" i="1"/>
  <c r="G2270" i="1"/>
  <c r="H2270" i="1"/>
  <c r="I2270" i="1"/>
  <c r="J2270" i="1"/>
  <c r="K2270" i="1"/>
  <c r="L2270" i="1"/>
  <c r="M2270" i="1"/>
  <c r="N2270" i="1"/>
  <c r="O2270" i="1"/>
  <c r="P2270" i="1"/>
  <c r="Q2270" i="1"/>
  <c r="A2271" i="1"/>
  <c r="B2271" i="1"/>
  <c r="C2271" i="1"/>
  <c r="E2271" i="1"/>
  <c r="F2271" i="1"/>
  <c r="G2271" i="1"/>
  <c r="H2271" i="1"/>
  <c r="I2271" i="1"/>
  <c r="J2271" i="1"/>
  <c r="K2271" i="1"/>
  <c r="L2271" i="1"/>
  <c r="M2271" i="1"/>
  <c r="N2271" i="1"/>
  <c r="O2271" i="1"/>
  <c r="P2271" i="1"/>
  <c r="Q2271" i="1"/>
  <c r="A2272" i="1"/>
  <c r="B2272" i="1"/>
  <c r="C2272" i="1"/>
  <c r="E2272" i="1"/>
  <c r="F2272" i="1"/>
  <c r="G2272" i="1"/>
  <c r="H2272" i="1"/>
  <c r="I2272" i="1"/>
  <c r="J2272" i="1"/>
  <c r="K2272" i="1"/>
  <c r="L2272" i="1"/>
  <c r="M2272" i="1"/>
  <c r="N2272" i="1"/>
  <c r="O2272" i="1"/>
  <c r="P2272" i="1"/>
  <c r="Q2272" i="1"/>
  <c r="A2273" i="1"/>
  <c r="B2273" i="1"/>
  <c r="D2273" i="1"/>
  <c r="E2273" i="1"/>
  <c r="F2273" i="1"/>
  <c r="G2273" i="1"/>
  <c r="H2273" i="1"/>
  <c r="I2273" i="1"/>
  <c r="J2273" i="1"/>
  <c r="K2273" i="1"/>
  <c r="L2273" i="1"/>
  <c r="M2273" i="1"/>
  <c r="N2273" i="1"/>
  <c r="O2273" i="1"/>
  <c r="P2273" i="1"/>
  <c r="Q2273" i="1"/>
  <c r="A2274" i="1"/>
  <c r="B2274" i="1"/>
  <c r="C2274" i="1"/>
  <c r="D2274" i="1"/>
  <c r="E2274" i="1"/>
  <c r="F2274" i="1"/>
  <c r="G2274" i="1"/>
  <c r="H2274" i="1"/>
  <c r="I2274" i="1"/>
  <c r="J2274" i="1"/>
  <c r="K2274" i="1"/>
  <c r="L2274" i="1"/>
  <c r="M2274" i="1"/>
  <c r="N2274" i="1"/>
  <c r="O2274" i="1"/>
  <c r="P2274" i="1"/>
  <c r="Q2274" i="1"/>
  <c r="A2275" i="1"/>
  <c r="B2275" i="1"/>
  <c r="E2275" i="1"/>
  <c r="F2275" i="1"/>
  <c r="G2275" i="1"/>
  <c r="H2275" i="1"/>
  <c r="I2275" i="1"/>
  <c r="J2275" i="1"/>
  <c r="K2275" i="1"/>
  <c r="L2275" i="1"/>
  <c r="M2275" i="1"/>
  <c r="N2275" i="1"/>
  <c r="O2275" i="1"/>
  <c r="P2275" i="1"/>
  <c r="Q2275" i="1"/>
  <c r="A2276" i="1"/>
  <c r="B2276" i="1"/>
  <c r="E2276" i="1"/>
  <c r="F2276" i="1"/>
  <c r="G2276" i="1"/>
  <c r="H2276" i="1"/>
  <c r="I2276" i="1"/>
  <c r="J2276" i="1"/>
  <c r="K2276" i="1"/>
  <c r="L2276" i="1"/>
  <c r="M2276" i="1"/>
  <c r="N2276" i="1"/>
  <c r="O2276" i="1"/>
  <c r="P2276" i="1"/>
  <c r="Q2276" i="1"/>
  <c r="A2277" i="1"/>
  <c r="B2277" i="1"/>
  <c r="E2277" i="1"/>
  <c r="F2277" i="1"/>
  <c r="G2277" i="1"/>
  <c r="H2277" i="1"/>
  <c r="I2277" i="1"/>
  <c r="J2277" i="1"/>
  <c r="K2277" i="1"/>
  <c r="L2277" i="1"/>
  <c r="M2277" i="1"/>
  <c r="N2277" i="1"/>
  <c r="O2277" i="1"/>
  <c r="P2277" i="1"/>
  <c r="Q2277" i="1"/>
  <c r="A2278" i="1"/>
  <c r="B2278" i="1"/>
  <c r="E2278" i="1"/>
  <c r="F2278" i="1"/>
  <c r="G2278" i="1"/>
  <c r="H2278" i="1"/>
  <c r="I2278" i="1"/>
  <c r="J2278" i="1"/>
  <c r="K2278" i="1"/>
  <c r="L2278" i="1"/>
  <c r="M2278" i="1"/>
  <c r="N2278" i="1"/>
  <c r="O2278" i="1"/>
  <c r="P2278" i="1"/>
  <c r="Q2278" i="1"/>
  <c r="A2279" i="1"/>
  <c r="B2279" i="1"/>
  <c r="C2279" i="1"/>
  <c r="E2279" i="1"/>
  <c r="F2279" i="1"/>
  <c r="G2279" i="1"/>
  <c r="H2279" i="1"/>
  <c r="I2279" i="1"/>
  <c r="J2279" i="1"/>
  <c r="K2279" i="1"/>
  <c r="L2279" i="1"/>
  <c r="M2279" i="1"/>
  <c r="N2279" i="1"/>
  <c r="O2279" i="1"/>
  <c r="P2279" i="1"/>
  <c r="Q2279" i="1"/>
  <c r="A2280" i="1"/>
  <c r="B2280" i="1"/>
  <c r="D2280" i="1"/>
  <c r="E2280" i="1"/>
  <c r="F2280" i="1"/>
  <c r="G2280" i="1"/>
  <c r="H2280" i="1"/>
  <c r="I2280" i="1"/>
  <c r="J2280" i="1"/>
  <c r="K2280" i="1"/>
  <c r="L2280" i="1"/>
  <c r="M2280" i="1"/>
  <c r="N2280" i="1"/>
  <c r="O2280" i="1"/>
  <c r="P2280" i="1"/>
  <c r="Q2280" i="1"/>
  <c r="A2281" i="1"/>
  <c r="B2281" i="1"/>
  <c r="C2281" i="1"/>
  <c r="D2281" i="1"/>
  <c r="E2281" i="1"/>
  <c r="F2281" i="1"/>
  <c r="G2281" i="1"/>
  <c r="H2281" i="1"/>
  <c r="I2281" i="1"/>
  <c r="J2281" i="1"/>
  <c r="K2281" i="1"/>
  <c r="L2281" i="1"/>
  <c r="M2281" i="1"/>
  <c r="N2281" i="1"/>
  <c r="O2281" i="1"/>
  <c r="P2281" i="1"/>
  <c r="Q2281" i="1"/>
  <c r="A2282" i="1"/>
  <c r="B2282" i="1"/>
  <c r="C2282" i="1"/>
  <c r="E2282" i="1"/>
  <c r="F2282" i="1"/>
  <c r="G2282" i="1"/>
  <c r="H2282" i="1"/>
  <c r="I2282" i="1"/>
  <c r="J2282" i="1"/>
  <c r="K2282" i="1"/>
  <c r="L2282" i="1"/>
  <c r="M2282" i="1"/>
  <c r="N2282" i="1"/>
  <c r="O2282" i="1"/>
  <c r="P2282" i="1"/>
  <c r="Q2282" i="1"/>
  <c r="A2283" i="1"/>
  <c r="B2283" i="1"/>
  <c r="C2283" i="1"/>
  <c r="E2283" i="1"/>
  <c r="F2283" i="1"/>
  <c r="G2283" i="1"/>
  <c r="H2283" i="1"/>
  <c r="I2283" i="1"/>
  <c r="J2283" i="1"/>
  <c r="K2283" i="1"/>
  <c r="L2283" i="1"/>
  <c r="M2283" i="1"/>
  <c r="N2283" i="1"/>
  <c r="O2283" i="1"/>
  <c r="P2283" i="1"/>
  <c r="Q2283" i="1"/>
  <c r="A2284" i="1"/>
  <c r="B2284" i="1"/>
  <c r="C2284" i="1"/>
  <c r="D2284" i="1"/>
  <c r="E2284" i="1"/>
  <c r="F2284" i="1"/>
  <c r="G2284" i="1"/>
  <c r="H2284" i="1"/>
  <c r="I2284" i="1"/>
  <c r="J2284" i="1"/>
  <c r="K2284" i="1"/>
  <c r="L2284" i="1"/>
  <c r="M2284" i="1"/>
  <c r="N2284" i="1"/>
  <c r="O2284" i="1"/>
  <c r="P2284" i="1"/>
  <c r="Q2284" i="1"/>
  <c r="A2285" i="1"/>
  <c r="B2285" i="1"/>
  <c r="C2285" i="1"/>
  <c r="D2285" i="1"/>
  <c r="E2285" i="1"/>
  <c r="F2285" i="1"/>
  <c r="G2285" i="1"/>
  <c r="H2285" i="1"/>
  <c r="I2285" i="1"/>
  <c r="J2285" i="1"/>
  <c r="K2285" i="1"/>
  <c r="L2285" i="1"/>
  <c r="M2285" i="1"/>
  <c r="N2285" i="1"/>
  <c r="O2285" i="1"/>
  <c r="P2285" i="1"/>
  <c r="Q2285" i="1"/>
  <c r="A2286" i="1"/>
  <c r="B2286" i="1"/>
  <c r="C2286" i="1"/>
  <c r="E2286" i="1"/>
  <c r="F2286" i="1"/>
  <c r="G2286" i="1"/>
  <c r="H2286" i="1"/>
  <c r="I2286" i="1"/>
  <c r="J2286" i="1"/>
  <c r="K2286" i="1"/>
  <c r="L2286" i="1"/>
  <c r="M2286" i="1"/>
  <c r="N2286" i="1"/>
  <c r="O2286" i="1"/>
  <c r="P2286" i="1"/>
  <c r="Q2286" i="1"/>
  <c r="A2287" i="1"/>
  <c r="B2287" i="1"/>
  <c r="C2287" i="1"/>
  <c r="E2287" i="1"/>
  <c r="F2287" i="1"/>
  <c r="G2287" i="1"/>
  <c r="H2287" i="1"/>
  <c r="I2287" i="1"/>
  <c r="J2287" i="1"/>
  <c r="K2287" i="1"/>
  <c r="L2287" i="1"/>
  <c r="M2287" i="1"/>
  <c r="N2287" i="1"/>
  <c r="O2287" i="1"/>
  <c r="P2287" i="1"/>
  <c r="Q2287" i="1"/>
  <c r="A2288" i="1"/>
  <c r="B2288" i="1"/>
  <c r="C2288" i="1"/>
  <c r="E2288" i="1"/>
  <c r="F2288" i="1"/>
  <c r="G2288" i="1"/>
  <c r="H2288" i="1"/>
  <c r="I2288" i="1"/>
  <c r="J2288" i="1"/>
  <c r="K2288" i="1"/>
  <c r="L2288" i="1"/>
  <c r="M2288" i="1"/>
  <c r="N2288" i="1"/>
  <c r="O2288" i="1"/>
  <c r="P2288" i="1"/>
  <c r="Q2288" i="1"/>
  <c r="A2289" i="1"/>
  <c r="B2289" i="1"/>
  <c r="C2289" i="1"/>
  <c r="D2289" i="1"/>
  <c r="E2289" i="1"/>
  <c r="F2289" i="1"/>
  <c r="G2289" i="1"/>
  <c r="H2289" i="1"/>
  <c r="I2289" i="1"/>
  <c r="J2289" i="1"/>
  <c r="K2289" i="1"/>
  <c r="L2289" i="1"/>
  <c r="M2289" i="1"/>
  <c r="N2289" i="1"/>
  <c r="O2289" i="1"/>
  <c r="P2289" i="1"/>
  <c r="Q2289" i="1"/>
  <c r="A2290" i="1"/>
  <c r="B2290" i="1"/>
  <c r="C2290" i="1"/>
  <c r="D2290" i="1"/>
  <c r="E2290" i="1"/>
  <c r="F2290" i="1"/>
  <c r="G2290" i="1"/>
  <c r="H2290" i="1"/>
  <c r="I2290" i="1"/>
  <c r="J2290" i="1"/>
  <c r="K2290" i="1"/>
  <c r="L2290" i="1"/>
  <c r="M2290" i="1"/>
  <c r="N2290" i="1"/>
  <c r="O2290" i="1"/>
  <c r="P2290" i="1"/>
  <c r="Q2290" i="1"/>
  <c r="A2291" i="1"/>
  <c r="B2291" i="1"/>
  <c r="C2291" i="1"/>
  <c r="D2291" i="1"/>
  <c r="E2291" i="1"/>
  <c r="F2291" i="1"/>
  <c r="G2291" i="1"/>
  <c r="H2291" i="1"/>
  <c r="I2291" i="1"/>
  <c r="J2291" i="1"/>
  <c r="K2291" i="1"/>
  <c r="L2291" i="1"/>
  <c r="M2291" i="1"/>
  <c r="N2291" i="1"/>
  <c r="O2291" i="1"/>
  <c r="P2291" i="1"/>
  <c r="Q2291" i="1"/>
  <c r="A2292" i="1"/>
  <c r="B2292" i="1"/>
  <c r="C2292" i="1"/>
  <c r="E2292" i="1"/>
  <c r="F2292" i="1"/>
  <c r="G2292" i="1"/>
  <c r="H2292" i="1"/>
  <c r="I2292" i="1"/>
  <c r="J2292" i="1"/>
  <c r="K2292" i="1"/>
  <c r="L2292" i="1"/>
  <c r="M2292" i="1"/>
  <c r="N2292" i="1"/>
  <c r="O2292" i="1"/>
  <c r="P2292" i="1"/>
  <c r="Q2292" i="1"/>
  <c r="A2293" i="1"/>
  <c r="B2293" i="1"/>
  <c r="C2293" i="1"/>
  <c r="E2293" i="1"/>
  <c r="F2293" i="1"/>
  <c r="G2293" i="1"/>
  <c r="H2293" i="1"/>
  <c r="I2293" i="1"/>
  <c r="J2293" i="1"/>
  <c r="K2293" i="1"/>
  <c r="L2293" i="1"/>
  <c r="M2293" i="1"/>
  <c r="N2293" i="1"/>
  <c r="O2293" i="1"/>
  <c r="P2293" i="1"/>
  <c r="Q2293" i="1"/>
  <c r="A2294" i="1"/>
  <c r="B2294" i="1"/>
  <c r="C2294" i="1"/>
  <c r="E2294" i="1"/>
  <c r="F2294" i="1"/>
  <c r="G2294" i="1"/>
  <c r="H2294" i="1"/>
  <c r="I2294" i="1"/>
  <c r="J2294" i="1"/>
  <c r="K2294" i="1"/>
  <c r="L2294" i="1"/>
  <c r="M2294" i="1"/>
  <c r="N2294" i="1"/>
  <c r="O2294" i="1"/>
  <c r="P2294" i="1"/>
  <c r="Q2294" i="1"/>
  <c r="A2295" i="1"/>
  <c r="B2295" i="1"/>
  <c r="C2295" i="1"/>
  <c r="E2295" i="1"/>
  <c r="F2295" i="1"/>
  <c r="G2295" i="1"/>
  <c r="H2295" i="1"/>
  <c r="I2295" i="1"/>
  <c r="J2295" i="1"/>
  <c r="K2295" i="1"/>
  <c r="L2295" i="1"/>
  <c r="M2295" i="1"/>
  <c r="N2295" i="1"/>
  <c r="O2295" i="1"/>
  <c r="P2295" i="1"/>
  <c r="Q2295" i="1"/>
  <c r="A2296" i="1"/>
  <c r="B2296" i="1"/>
  <c r="C2296" i="1"/>
  <c r="E2296" i="1"/>
  <c r="F2296" i="1"/>
  <c r="G2296" i="1"/>
  <c r="H2296" i="1"/>
  <c r="I2296" i="1"/>
  <c r="J2296" i="1"/>
  <c r="K2296" i="1"/>
  <c r="L2296" i="1"/>
  <c r="M2296" i="1"/>
  <c r="N2296" i="1"/>
  <c r="O2296" i="1"/>
  <c r="P2296" i="1"/>
  <c r="Q2296" i="1"/>
  <c r="A2297" i="1"/>
  <c r="B2297" i="1"/>
  <c r="C2297" i="1"/>
  <c r="D2297" i="1"/>
  <c r="E2297" i="1"/>
  <c r="F2297" i="1"/>
  <c r="G2297" i="1"/>
  <c r="H2297" i="1"/>
  <c r="I2297" i="1"/>
  <c r="J2297" i="1"/>
  <c r="K2297" i="1"/>
  <c r="L2297" i="1"/>
  <c r="M2297" i="1"/>
  <c r="N2297" i="1"/>
  <c r="O2297" i="1"/>
  <c r="P2297" i="1"/>
  <c r="Q2297" i="1"/>
  <c r="A2298" i="1"/>
  <c r="B2298" i="1"/>
  <c r="C2298" i="1"/>
  <c r="E2298" i="1"/>
  <c r="F2298" i="1"/>
  <c r="G2298" i="1"/>
  <c r="H2298" i="1"/>
  <c r="I2298" i="1"/>
  <c r="J2298" i="1"/>
  <c r="K2298" i="1"/>
  <c r="L2298" i="1"/>
  <c r="M2298" i="1"/>
  <c r="N2298" i="1"/>
  <c r="O2298" i="1"/>
  <c r="P2298" i="1"/>
  <c r="Q2298" i="1"/>
  <c r="A2299" i="1"/>
  <c r="B2299" i="1"/>
  <c r="C2299" i="1"/>
  <c r="D2299" i="1"/>
  <c r="E2299" i="1"/>
  <c r="F2299" i="1"/>
  <c r="G2299" i="1"/>
  <c r="H2299" i="1"/>
  <c r="I2299" i="1"/>
  <c r="J2299" i="1"/>
  <c r="K2299" i="1"/>
  <c r="L2299" i="1"/>
  <c r="M2299" i="1"/>
  <c r="N2299" i="1"/>
  <c r="O2299" i="1"/>
  <c r="P2299" i="1"/>
  <c r="Q2299" i="1"/>
  <c r="A2300" i="1"/>
  <c r="B2300" i="1"/>
  <c r="C2300" i="1"/>
  <c r="E2300" i="1"/>
  <c r="F2300" i="1"/>
  <c r="G2300" i="1"/>
  <c r="H2300" i="1"/>
  <c r="I2300" i="1"/>
  <c r="J2300" i="1"/>
  <c r="K2300" i="1"/>
  <c r="L2300" i="1"/>
  <c r="M2300" i="1"/>
  <c r="N2300" i="1"/>
  <c r="O2300" i="1"/>
  <c r="P2300" i="1"/>
  <c r="Q2300" i="1"/>
  <c r="A2301" i="1"/>
  <c r="B2301" i="1"/>
  <c r="C2301" i="1"/>
  <c r="D2301" i="1"/>
  <c r="E2301" i="1"/>
  <c r="F2301" i="1"/>
  <c r="G2301" i="1"/>
  <c r="H2301" i="1"/>
  <c r="I2301" i="1"/>
  <c r="J2301" i="1"/>
  <c r="K2301" i="1"/>
  <c r="L2301" i="1"/>
  <c r="M2301" i="1"/>
  <c r="N2301" i="1"/>
  <c r="O2301" i="1"/>
  <c r="P2301" i="1"/>
  <c r="Q2301" i="1"/>
  <c r="A2302" i="1"/>
  <c r="B2302" i="1"/>
  <c r="C2302" i="1"/>
  <c r="E2302" i="1"/>
  <c r="F2302" i="1"/>
  <c r="G2302" i="1"/>
  <c r="H2302" i="1"/>
  <c r="I2302" i="1"/>
  <c r="J2302" i="1"/>
  <c r="K2302" i="1"/>
  <c r="L2302" i="1"/>
  <c r="M2302" i="1"/>
  <c r="N2302" i="1"/>
  <c r="O2302" i="1"/>
  <c r="P2302" i="1"/>
  <c r="Q2302" i="1"/>
  <c r="A2303" i="1"/>
  <c r="B2303" i="1"/>
  <c r="C2303" i="1"/>
  <c r="E2303" i="1"/>
  <c r="F2303" i="1"/>
  <c r="G2303" i="1"/>
  <c r="H2303" i="1"/>
  <c r="I2303" i="1"/>
  <c r="J2303" i="1"/>
  <c r="K2303" i="1"/>
  <c r="L2303" i="1"/>
  <c r="M2303" i="1"/>
  <c r="N2303" i="1"/>
  <c r="O2303" i="1"/>
  <c r="P2303" i="1"/>
  <c r="Q2303" i="1"/>
  <c r="A2304" i="1"/>
  <c r="B2304" i="1"/>
  <c r="C2304" i="1"/>
  <c r="E2304" i="1"/>
  <c r="F2304" i="1"/>
  <c r="G2304" i="1"/>
  <c r="H2304" i="1"/>
  <c r="I2304" i="1"/>
  <c r="J2304" i="1"/>
  <c r="K2304" i="1"/>
  <c r="L2304" i="1"/>
  <c r="M2304" i="1"/>
  <c r="N2304" i="1"/>
  <c r="O2304" i="1"/>
  <c r="P2304" i="1"/>
  <c r="Q2304" i="1"/>
  <c r="A2305" i="1"/>
  <c r="B2305" i="1"/>
  <c r="C2305" i="1"/>
  <c r="D2305" i="1"/>
  <c r="E2305" i="1"/>
  <c r="F2305" i="1"/>
  <c r="G2305" i="1"/>
  <c r="H2305" i="1"/>
  <c r="I2305" i="1"/>
  <c r="J2305" i="1"/>
  <c r="K2305" i="1"/>
  <c r="L2305" i="1"/>
  <c r="M2305" i="1"/>
  <c r="N2305" i="1"/>
  <c r="O2305" i="1"/>
  <c r="P2305" i="1"/>
  <c r="Q2305" i="1"/>
  <c r="A2306" i="1"/>
  <c r="B2306" i="1"/>
  <c r="C2306" i="1"/>
  <c r="D2306" i="1"/>
  <c r="E2306" i="1"/>
  <c r="F2306" i="1"/>
  <c r="G2306" i="1"/>
  <c r="H2306" i="1"/>
  <c r="I2306" i="1"/>
  <c r="J2306" i="1"/>
  <c r="K2306" i="1"/>
  <c r="L2306" i="1"/>
  <c r="M2306" i="1"/>
  <c r="N2306" i="1"/>
  <c r="O2306" i="1"/>
  <c r="P2306" i="1"/>
  <c r="Q2306" i="1"/>
  <c r="A2307" i="1"/>
  <c r="B2307" i="1"/>
  <c r="C2307" i="1"/>
  <c r="E2307" i="1"/>
  <c r="F2307" i="1"/>
  <c r="G2307" i="1"/>
  <c r="H2307" i="1"/>
  <c r="I2307" i="1"/>
  <c r="J2307" i="1"/>
  <c r="K2307" i="1"/>
  <c r="L2307" i="1"/>
  <c r="M2307" i="1"/>
  <c r="N2307" i="1"/>
  <c r="O2307" i="1"/>
  <c r="P2307" i="1"/>
  <c r="Q2307" i="1"/>
  <c r="A2308" i="1"/>
  <c r="B2308" i="1"/>
  <c r="C2308" i="1"/>
  <c r="E2308" i="1"/>
  <c r="F2308" i="1"/>
  <c r="G2308" i="1"/>
  <c r="H2308" i="1"/>
  <c r="I2308" i="1"/>
  <c r="J2308" i="1"/>
  <c r="K2308" i="1"/>
  <c r="L2308" i="1"/>
  <c r="M2308" i="1"/>
  <c r="N2308" i="1"/>
  <c r="O2308" i="1"/>
  <c r="P2308" i="1"/>
  <c r="Q2308" i="1"/>
  <c r="A2309" i="1"/>
  <c r="B2309" i="1"/>
  <c r="C2309" i="1"/>
  <c r="D2309" i="1"/>
  <c r="E2309" i="1"/>
  <c r="F2309" i="1"/>
  <c r="G2309" i="1"/>
  <c r="H2309" i="1"/>
  <c r="I2309" i="1"/>
  <c r="J2309" i="1"/>
  <c r="K2309" i="1"/>
  <c r="L2309" i="1"/>
  <c r="M2309" i="1"/>
  <c r="N2309" i="1"/>
  <c r="O2309" i="1"/>
  <c r="P2309" i="1"/>
  <c r="Q2309" i="1"/>
  <c r="A2310" i="1"/>
  <c r="B2310" i="1"/>
  <c r="C2310" i="1"/>
  <c r="D2310" i="1"/>
  <c r="E2310" i="1"/>
  <c r="F2310" i="1"/>
  <c r="G2310" i="1"/>
  <c r="H2310" i="1"/>
  <c r="I2310" i="1"/>
  <c r="J2310" i="1"/>
  <c r="K2310" i="1"/>
  <c r="L2310" i="1"/>
  <c r="M2310" i="1"/>
  <c r="N2310" i="1"/>
  <c r="O2310" i="1"/>
  <c r="P2310" i="1"/>
  <c r="Q2310" i="1"/>
  <c r="A2311" i="1"/>
  <c r="B2311" i="1"/>
  <c r="C2311" i="1"/>
  <c r="D2311" i="1"/>
  <c r="E2311" i="1"/>
  <c r="F2311" i="1"/>
  <c r="G2311" i="1"/>
  <c r="H2311" i="1"/>
  <c r="I2311" i="1"/>
  <c r="J2311" i="1"/>
  <c r="K2311" i="1"/>
  <c r="L2311" i="1"/>
  <c r="M2311" i="1"/>
  <c r="N2311" i="1"/>
  <c r="O2311" i="1"/>
  <c r="P2311" i="1"/>
  <c r="Q2311" i="1"/>
  <c r="A2312" i="1"/>
  <c r="B2312" i="1"/>
  <c r="C2312" i="1"/>
  <c r="E2312" i="1"/>
  <c r="F2312" i="1"/>
  <c r="G2312" i="1"/>
  <c r="H2312" i="1"/>
  <c r="I2312" i="1"/>
  <c r="J2312" i="1"/>
  <c r="K2312" i="1"/>
  <c r="L2312" i="1"/>
  <c r="M2312" i="1"/>
  <c r="N2312" i="1"/>
  <c r="O2312" i="1"/>
  <c r="P2312" i="1"/>
  <c r="Q2312" i="1"/>
  <c r="A2313" i="1"/>
  <c r="B2313" i="1"/>
  <c r="C2313" i="1"/>
  <c r="D2313" i="1"/>
  <c r="E2313" i="1"/>
  <c r="F2313" i="1"/>
  <c r="G2313" i="1"/>
  <c r="H2313" i="1"/>
  <c r="I2313" i="1"/>
  <c r="J2313" i="1"/>
  <c r="K2313" i="1"/>
  <c r="L2313" i="1"/>
  <c r="M2313" i="1"/>
  <c r="N2313" i="1"/>
  <c r="O2313" i="1"/>
  <c r="P2313" i="1"/>
  <c r="Q2313" i="1"/>
  <c r="A2314" i="1"/>
  <c r="B2314" i="1"/>
  <c r="C2314" i="1"/>
  <c r="E2314" i="1"/>
  <c r="F2314" i="1"/>
  <c r="G2314" i="1"/>
  <c r="H2314" i="1"/>
  <c r="I2314" i="1"/>
  <c r="J2314" i="1"/>
  <c r="K2314" i="1"/>
  <c r="L2314" i="1"/>
  <c r="M2314" i="1"/>
  <c r="N2314" i="1"/>
  <c r="O2314" i="1"/>
  <c r="P2314" i="1"/>
  <c r="Q2314" i="1"/>
  <c r="A2315" i="1"/>
  <c r="B2315" i="1"/>
  <c r="C2315" i="1"/>
  <c r="E2315" i="1"/>
  <c r="F2315" i="1"/>
  <c r="G2315" i="1"/>
  <c r="H2315" i="1"/>
  <c r="I2315" i="1"/>
  <c r="J2315" i="1"/>
  <c r="K2315" i="1"/>
  <c r="L2315" i="1"/>
  <c r="M2315" i="1"/>
  <c r="N2315" i="1"/>
  <c r="O2315" i="1"/>
  <c r="P2315" i="1"/>
  <c r="Q2315" i="1"/>
  <c r="A2316" i="1"/>
  <c r="B2316" i="1"/>
  <c r="C2316" i="1"/>
  <c r="E2316" i="1"/>
  <c r="F2316" i="1"/>
  <c r="G2316" i="1"/>
  <c r="H2316" i="1"/>
  <c r="I2316" i="1"/>
  <c r="J2316" i="1"/>
  <c r="K2316" i="1"/>
  <c r="L2316" i="1"/>
  <c r="M2316" i="1"/>
  <c r="N2316" i="1"/>
  <c r="O2316" i="1"/>
  <c r="P2316" i="1"/>
  <c r="Q2316" i="1"/>
  <c r="A2317" i="1"/>
  <c r="B2317" i="1"/>
  <c r="C2317" i="1"/>
  <c r="E2317" i="1"/>
  <c r="F2317" i="1"/>
  <c r="G2317" i="1"/>
  <c r="H2317" i="1"/>
  <c r="I2317" i="1"/>
  <c r="J2317" i="1"/>
  <c r="K2317" i="1"/>
  <c r="L2317" i="1"/>
  <c r="M2317" i="1"/>
  <c r="N2317" i="1"/>
  <c r="O2317" i="1"/>
  <c r="P2317" i="1"/>
  <c r="Q2317" i="1"/>
  <c r="A2318" i="1"/>
  <c r="B2318" i="1"/>
  <c r="C2318" i="1"/>
  <c r="E2318" i="1"/>
  <c r="F2318" i="1"/>
  <c r="G2318" i="1"/>
  <c r="H2318" i="1"/>
  <c r="I2318" i="1"/>
  <c r="J2318" i="1"/>
  <c r="K2318" i="1"/>
  <c r="L2318" i="1"/>
  <c r="M2318" i="1"/>
  <c r="N2318" i="1"/>
  <c r="O2318" i="1"/>
  <c r="P2318" i="1"/>
  <c r="Q2318" i="1"/>
  <c r="A2319" i="1"/>
  <c r="B2319" i="1"/>
  <c r="C2319" i="1"/>
  <c r="D2319" i="1"/>
  <c r="E2319" i="1"/>
  <c r="F2319" i="1"/>
  <c r="G2319" i="1"/>
  <c r="H2319" i="1"/>
  <c r="I2319" i="1"/>
  <c r="J2319" i="1"/>
  <c r="K2319" i="1"/>
  <c r="L2319" i="1"/>
  <c r="M2319" i="1"/>
  <c r="N2319" i="1"/>
  <c r="O2319" i="1"/>
  <c r="P2319" i="1"/>
  <c r="Q2319" i="1"/>
  <c r="A2320" i="1"/>
  <c r="B2320" i="1"/>
  <c r="C2320" i="1"/>
  <c r="D2320" i="1"/>
  <c r="E2320" i="1"/>
  <c r="F2320" i="1"/>
  <c r="G2320" i="1"/>
  <c r="H2320" i="1"/>
  <c r="I2320" i="1"/>
  <c r="J2320" i="1"/>
  <c r="K2320" i="1"/>
  <c r="L2320" i="1"/>
  <c r="M2320" i="1"/>
  <c r="N2320" i="1"/>
  <c r="O2320" i="1"/>
  <c r="P2320" i="1"/>
  <c r="Q2320" i="1"/>
  <c r="A2321" i="1"/>
  <c r="B2321" i="1"/>
  <c r="C2321" i="1"/>
  <c r="D2321" i="1"/>
  <c r="E2321" i="1"/>
  <c r="F2321" i="1"/>
  <c r="G2321" i="1"/>
  <c r="H2321" i="1"/>
  <c r="I2321" i="1"/>
  <c r="J2321" i="1"/>
  <c r="K2321" i="1"/>
  <c r="L2321" i="1"/>
  <c r="M2321" i="1"/>
  <c r="N2321" i="1"/>
  <c r="O2321" i="1"/>
  <c r="P2321" i="1"/>
  <c r="Q2321" i="1"/>
  <c r="A2322" i="1"/>
  <c r="B2322" i="1"/>
  <c r="C2322" i="1"/>
  <c r="D2322" i="1"/>
  <c r="E2322" i="1"/>
  <c r="F2322" i="1"/>
  <c r="G2322" i="1"/>
  <c r="H2322" i="1"/>
  <c r="I2322" i="1"/>
  <c r="J2322" i="1"/>
  <c r="K2322" i="1"/>
  <c r="L2322" i="1"/>
  <c r="M2322" i="1"/>
  <c r="N2322" i="1"/>
  <c r="O2322" i="1"/>
  <c r="P2322" i="1"/>
  <c r="Q2322" i="1"/>
  <c r="A2323" i="1"/>
  <c r="B2323" i="1"/>
  <c r="C2323" i="1"/>
  <c r="E2323" i="1"/>
  <c r="F2323" i="1"/>
  <c r="G2323" i="1"/>
  <c r="H2323" i="1"/>
  <c r="I2323" i="1"/>
  <c r="J2323" i="1"/>
  <c r="K2323" i="1"/>
  <c r="L2323" i="1"/>
  <c r="M2323" i="1"/>
  <c r="N2323" i="1"/>
  <c r="O2323" i="1"/>
  <c r="P2323" i="1"/>
  <c r="Q2323" i="1"/>
  <c r="A2324" i="1"/>
  <c r="B2324" i="1"/>
  <c r="C2324" i="1"/>
  <c r="D2324" i="1"/>
  <c r="E2324" i="1"/>
  <c r="F2324" i="1"/>
  <c r="G2324" i="1"/>
  <c r="H2324" i="1"/>
  <c r="I2324" i="1"/>
  <c r="J2324" i="1"/>
  <c r="K2324" i="1"/>
  <c r="L2324" i="1"/>
  <c r="M2324" i="1"/>
  <c r="N2324" i="1"/>
  <c r="O2324" i="1"/>
  <c r="P2324" i="1"/>
  <c r="Q2324" i="1"/>
  <c r="A2325" i="1"/>
  <c r="B2325" i="1"/>
  <c r="C2325" i="1"/>
  <c r="D2325" i="1"/>
  <c r="E2325" i="1"/>
  <c r="F2325" i="1"/>
  <c r="G2325" i="1"/>
  <c r="H2325" i="1"/>
  <c r="I2325" i="1"/>
  <c r="J2325" i="1"/>
  <c r="K2325" i="1"/>
  <c r="L2325" i="1"/>
  <c r="M2325" i="1"/>
  <c r="N2325" i="1"/>
  <c r="O2325" i="1"/>
  <c r="P2325" i="1"/>
  <c r="Q2325" i="1"/>
  <c r="A2326" i="1"/>
  <c r="B2326" i="1"/>
  <c r="C2326" i="1"/>
  <c r="D2326" i="1"/>
  <c r="E2326" i="1"/>
  <c r="F2326" i="1"/>
  <c r="G2326" i="1"/>
  <c r="H2326" i="1"/>
  <c r="I2326" i="1"/>
  <c r="J2326" i="1"/>
  <c r="K2326" i="1"/>
  <c r="L2326" i="1"/>
  <c r="M2326" i="1"/>
  <c r="N2326" i="1"/>
  <c r="O2326" i="1"/>
  <c r="P2326" i="1"/>
  <c r="Q2326" i="1"/>
  <c r="A2327" i="1"/>
  <c r="B2327" i="1"/>
  <c r="C2327" i="1"/>
  <c r="D2327" i="1"/>
  <c r="E2327" i="1"/>
  <c r="F2327" i="1"/>
  <c r="G2327" i="1"/>
  <c r="H2327" i="1"/>
  <c r="I2327" i="1"/>
  <c r="J2327" i="1"/>
  <c r="K2327" i="1"/>
  <c r="L2327" i="1"/>
  <c r="M2327" i="1"/>
  <c r="N2327" i="1"/>
  <c r="O2327" i="1"/>
  <c r="P2327" i="1"/>
  <c r="Q2327" i="1"/>
  <c r="A2328" i="1"/>
  <c r="B2328" i="1"/>
  <c r="C2328" i="1"/>
  <c r="D2328" i="1"/>
  <c r="E2328" i="1"/>
  <c r="F2328" i="1"/>
  <c r="G2328" i="1"/>
  <c r="H2328" i="1"/>
  <c r="I2328" i="1"/>
  <c r="J2328" i="1"/>
  <c r="K2328" i="1"/>
  <c r="L2328" i="1"/>
  <c r="M2328" i="1"/>
  <c r="N2328" i="1"/>
  <c r="O2328" i="1"/>
  <c r="P2328" i="1"/>
  <c r="Q2328" i="1"/>
  <c r="A2329" i="1"/>
  <c r="B2329" i="1"/>
  <c r="C2329" i="1"/>
  <c r="E2329" i="1"/>
  <c r="F2329" i="1"/>
  <c r="G2329" i="1"/>
  <c r="H2329" i="1"/>
  <c r="I2329" i="1"/>
  <c r="J2329" i="1"/>
  <c r="K2329" i="1"/>
  <c r="L2329" i="1"/>
  <c r="M2329" i="1"/>
  <c r="N2329" i="1"/>
  <c r="O2329" i="1"/>
  <c r="P2329" i="1"/>
  <c r="Q2329" i="1"/>
  <c r="A2330" i="1"/>
  <c r="B2330" i="1"/>
  <c r="C2330" i="1"/>
  <c r="E2330" i="1"/>
  <c r="F2330" i="1"/>
  <c r="G2330" i="1"/>
  <c r="H2330" i="1"/>
  <c r="I2330" i="1"/>
  <c r="J2330" i="1"/>
  <c r="K2330" i="1"/>
  <c r="L2330" i="1"/>
  <c r="M2330" i="1"/>
  <c r="N2330" i="1"/>
  <c r="O2330" i="1"/>
  <c r="P2330" i="1"/>
  <c r="Q2330" i="1"/>
  <c r="A2331" i="1"/>
  <c r="B2331" i="1"/>
  <c r="C2331" i="1"/>
  <c r="D2331" i="1"/>
  <c r="E2331" i="1"/>
  <c r="F2331" i="1"/>
  <c r="G2331" i="1"/>
  <c r="H2331" i="1"/>
  <c r="I2331" i="1"/>
  <c r="J2331" i="1"/>
  <c r="K2331" i="1"/>
  <c r="L2331" i="1"/>
  <c r="M2331" i="1"/>
  <c r="N2331" i="1"/>
  <c r="O2331" i="1"/>
  <c r="P2331" i="1"/>
  <c r="Q2331" i="1"/>
  <c r="A2332" i="1"/>
  <c r="B2332" i="1"/>
  <c r="C2332" i="1"/>
  <c r="E2332" i="1"/>
  <c r="F2332" i="1"/>
  <c r="G2332" i="1"/>
  <c r="H2332" i="1"/>
  <c r="I2332" i="1"/>
  <c r="J2332" i="1"/>
  <c r="K2332" i="1"/>
  <c r="L2332" i="1"/>
  <c r="M2332" i="1"/>
  <c r="N2332" i="1"/>
  <c r="O2332" i="1"/>
  <c r="P2332" i="1"/>
  <c r="Q2332" i="1"/>
  <c r="A2333" i="1"/>
  <c r="B2333" i="1"/>
  <c r="C2333" i="1"/>
  <c r="E2333" i="1"/>
  <c r="F2333" i="1"/>
  <c r="G2333" i="1"/>
  <c r="H2333" i="1"/>
  <c r="I2333" i="1"/>
  <c r="J2333" i="1"/>
  <c r="K2333" i="1"/>
  <c r="L2333" i="1"/>
  <c r="M2333" i="1"/>
  <c r="N2333" i="1"/>
  <c r="O2333" i="1"/>
  <c r="P2333" i="1"/>
  <c r="Q2333" i="1"/>
  <c r="A2334" i="1"/>
  <c r="B2334" i="1"/>
  <c r="C2334" i="1"/>
  <c r="E2334" i="1"/>
  <c r="F2334" i="1"/>
  <c r="G2334" i="1"/>
  <c r="H2334" i="1"/>
  <c r="I2334" i="1"/>
  <c r="J2334" i="1"/>
  <c r="K2334" i="1"/>
  <c r="L2334" i="1"/>
  <c r="M2334" i="1"/>
  <c r="N2334" i="1"/>
  <c r="O2334" i="1"/>
  <c r="P2334" i="1"/>
  <c r="Q2334" i="1"/>
  <c r="A2335" i="1"/>
  <c r="B2335" i="1"/>
  <c r="C2335" i="1"/>
  <c r="D2335" i="1"/>
  <c r="E2335" i="1"/>
  <c r="F2335" i="1"/>
  <c r="G2335" i="1"/>
  <c r="H2335" i="1"/>
  <c r="I2335" i="1"/>
  <c r="J2335" i="1"/>
  <c r="K2335" i="1"/>
  <c r="L2335" i="1"/>
  <c r="M2335" i="1"/>
  <c r="N2335" i="1"/>
  <c r="O2335" i="1"/>
  <c r="P2335" i="1"/>
  <c r="Q2335" i="1"/>
  <c r="A2336" i="1"/>
  <c r="B2336" i="1"/>
  <c r="C2336" i="1"/>
  <c r="D2336" i="1"/>
  <c r="E2336" i="1"/>
  <c r="F2336" i="1"/>
  <c r="G2336" i="1"/>
  <c r="H2336" i="1"/>
  <c r="I2336" i="1"/>
  <c r="J2336" i="1"/>
  <c r="K2336" i="1"/>
  <c r="L2336" i="1"/>
  <c r="M2336" i="1"/>
  <c r="N2336" i="1"/>
  <c r="O2336" i="1"/>
  <c r="P2336" i="1"/>
  <c r="Q2336" i="1"/>
  <c r="A2337" i="1"/>
  <c r="B2337" i="1"/>
  <c r="C2337" i="1"/>
  <c r="E2337" i="1"/>
  <c r="F2337" i="1"/>
  <c r="G2337" i="1"/>
  <c r="H2337" i="1"/>
  <c r="I2337" i="1"/>
  <c r="J2337" i="1"/>
  <c r="K2337" i="1"/>
  <c r="L2337" i="1"/>
  <c r="M2337" i="1"/>
  <c r="N2337" i="1"/>
  <c r="O2337" i="1"/>
  <c r="P2337" i="1"/>
  <c r="Q2337" i="1"/>
  <c r="A2338" i="1"/>
  <c r="B2338" i="1"/>
  <c r="C2338" i="1"/>
  <c r="E2338" i="1"/>
  <c r="F2338" i="1"/>
  <c r="G2338" i="1"/>
  <c r="H2338" i="1"/>
  <c r="I2338" i="1"/>
  <c r="J2338" i="1"/>
  <c r="K2338" i="1"/>
  <c r="L2338" i="1"/>
  <c r="M2338" i="1"/>
  <c r="N2338" i="1"/>
  <c r="O2338" i="1"/>
  <c r="P2338" i="1"/>
  <c r="Q2338" i="1"/>
  <c r="A2339" i="1"/>
  <c r="B2339" i="1"/>
  <c r="C2339" i="1"/>
  <c r="E2339" i="1"/>
  <c r="F2339" i="1"/>
  <c r="G2339" i="1"/>
  <c r="H2339" i="1"/>
  <c r="I2339" i="1"/>
  <c r="J2339" i="1"/>
  <c r="K2339" i="1"/>
  <c r="L2339" i="1"/>
  <c r="M2339" i="1"/>
  <c r="N2339" i="1"/>
  <c r="O2339" i="1"/>
  <c r="P2339" i="1"/>
  <c r="Q2339" i="1"/>
  <c r="A2340" i="1"/>
  <c r="B2340" i="1"/>
  <c r="C2340" i="1"/>
  <c r="E2340" i="1"/>
  <c r="F2340" i="1"/>
  <c r="G2340" i="1"/>
  <c r="H2340" i="1"/>
  <c r="I2340" i="1"/>
  <c r="J2340" i="1"/>
  <c r="K2340" i="1"/>
  <c r="L2340" i="1"/>
  <c r="M2340" i="1"/>
  <c r="N2340" i="1"/>
  <c r="O2340" i="1"/>
  <c r="P2340" i="1"/>
  <c r="Q2340" i="1"/>
  <c r="A2341" i="1"/>
  <c r="B2341" i="1"/>
  <c r="C2341" i="1"/>
  <c r="D2341" i="1"/>
  <c r="E2341" i="1"/>
  <c r="F2341" i="1"/>
  <c r="G2341" i="1"/>
  <c r="H2341" i="1"/>
  <c r="I2341" i="1"/>
  <c r="J2341" i="1"/>
  <c r="K2341" i="1"/>
  <c r="L2341" i="1"/>
  <c r="M2341" i="1"/>
  <c r="N2341" i="1"/>
  <c r="O2341" i="1"/>
  <c r="P2341" i="1"/>
  <c r="Q2341" i="1"/>
  <c r="A2342" i="1"/>
  <c r="B2342" i="1"/>
  <c r="C2342" i="1"/>
  <c r="D2342" i="1"/>
  <c r="E2342" i="1"/>
  <c r="F2342" i="1"/>
  <c r="G2342" i="1"/>
  <c r="H2342" i="1"/>
  <c r="I2342" i="1"/>
  <c r="J2342" i="1"/>
  <c r="K2342" i="1"/>
  <c r="L2342" i="1"/>
  <c r="M2342" i="1"/>
  <c r="N2342" i="1"/>
  <c r="O2342" i="1"/>
  <c r="P2342" i="1"/>
  <c r="Q2342" i="1"/>
  <c r="A2343" i="1"/>
  <c r="B2343" i="1"/>
  <c r="C2343" i="1"/>
  <c r="D2343" i="1"/>
  <c r="E2343" i="1"/>
  <c r="F2343" i="1"/>
  <c r="G2343" i="1"/>
  <c r="H2343" i="1"/>
  <c r="I2343" i="1"/>
  <c r="J2343" i="1"/>
  <c r="K2343" i="1"/>
  <c r="L2343" i="1"/>
  <c r="M2343" i="1"/>
  <c r="N2343" i="1"/>
  <c r="O2343" i="1"/>
  <c r="P2343" i="1"/>
  <c r="Q2343" i="1"/>
  <c r="A2344" i="1"/>
  <c r="B2344" i="1"/>
  <c r="C2344" i="1"/>
  <c r="E2344" i="1"/>
  <c r="F2344" i="1"/>
  <c r="G2344" i="1"/>
  <c r="H2344" i="1"/>
  <c r="I2344" i="1"/>
  <c r="J2344" i="1"/>
  <c r="K2344" i="1"/>
  <c r="L2344" i="1"/>
  <c r="M2344" i="1"/>
  <c r="N2344" i="1"/>
  <c r="O2344" i="1"/>
  <c r="P2344" i="1"/>
  <c r="Q2344" i="1"/>
  <c r="A2345" i="1"/>
  <c r="B2345" i="1"/>
  <c r="C2345" i="1"/>
  <c r="E2345" i="1"/>
  <c r="F2345" i="1"/>
  <c r="G2345" i="1"/>
  <c r="H2345" i="1"/>
  <c r="I2345" i="1"/>
  <c r="J2345" i="1"/>
  <c r="K2345" i="1"/>
  <c r="L2345" i="1"/>
  <c r="M2345" i="1"/>
  <c r="N2345" i="1"/>
  <c r="O2345" i="1"/>
  <c r="P2345" i="1"/>
  <c r="Q2345" i="1"/>
  <c r="A2346" i="1"/>
  <c r="B2346" i="1"/>
  <c r="C2346" i="1"/>
  <c r="E2346" i="1"/>
  <c r="F2346" i="1"/>
  <c r="G2346" i="1"/>
  <c r="H2346" i="1"/>
  <c r="I2346" i="1"/>
  <c r="J2346" i="1"/>
  <c r="K2346" i="1"/>
  <c r="L2346" i="1"/>
  <c r="M2346" i="1"/>
  <c r="N2346" i="1"/>
  <c r="O2346" i="1"/>
  <c r="P2346" i="1"/>
  <c r="Q2346" i="1"/>
  <c r="A2347" i="1"/>
  <c r="B2347" i="1"/>
  <c r="C2347" i="1"/>
  <c r="E2347" i="1"/>
  <c r="F2347" i="1"/>
  <c r="G2347" i="1"/>
  <c r="H2347" i="1"/>
  <c r="I2347" i="1"/>
  <c r="J2347" i="1"/>
  <c r="K2347" i="1"/>
  <c r="L2347" i="1"/>
  <c r="M2347" i="1"/>
  <c r="N2347" i="1"/>
  <c r="O2347" i="1"/>
  <c r="P2347" i="1"/>
  <c r="Q2347" i="1"/>
  <c r="A2348" i="1"/>
  <c r="B2348" i="1"/>
  <c r="C2348" i="1"/>
  <c r="E2348" i="1"/>
  <c r="F2348" i="1"/>
  <c r="G2348" i="1"/>
  <c r="H2348" i="1"/>
  <c r="I2348" i="1"/>
  <c r="J2348" i="1"/>
  <c r="K2348" i="1"/>
  <c r="L2348" i="1"/>
  <c r="M2348" i="1"/>
  <c r="N2348" i="1"/>
  <c r="O2348" i="1"/>
  <c r="P2348" i="1"/>
  <c r="Q2348" i="1"/>
  <c r="A2349" i="1"/>
  <c r="B2349" i="1"/>
  <c r="C2349" i="1"/>
  <c r="E2349" i="1"/>
  <c r="F2349" i="1"/>
  <c r="G2349" i="1"/>
  <c r="H2349" i="1"/>
  <c r="I2349" i="1"/>
  <c r="J2349" i="1"/>
  <c r="K2349" i="1"/>
  <c r="L2349" i="1"/>
  <c r="M2349" i="1"/>
  <c r="N2349" i="1"/>
  <c r="O2349" i="1"/>
  <c r="P2349" i="1"/>
  <c r="Q2349" i="1"/>
  <c r="A2350" i="1"/>
  <c r="B2350" i="1"/>
  <c r="C2350" i="1"/>
  <c r="E2350" i="1"/>
  <c r="F2350" i="1"/>
  <c r="G2350" i="1"/>
  <c r="H2350" i="1"/>
  <c r="I2350" i="1"/>
  <c r="J2350" i="1"/>
  <c r="K2350" i="1"/>
  <c r="L2350" i="1"/>
  <c r="M2350" i="1"/>
  <c r="N2350" i="1"/>
  <c r="O2350" i="1"/>
  <c r="P2350" i="1"/>
  <c r="Q2350" i="1"/>
  <c r="A2351" i="1"/>
  <c r="B2351" i="1"/>
  <c r="C2351" i="1"/>
  <c r="E2351" i="1"/>
  <c r="F2351" i="1"/>
  <c r="G2351" i="1"/>
  <c r="H2351" i="1"/>
  <c r="I2351" i="1"/>
  <c r="J2351" i="1"/>
  <c r="K2351" i="1"/>
  <c r="L2351" i="1"/>
  <c r="M2351" i="1"/>
  <c r="N2351" i="1"/>
  <c r="O2351" i="1"/>
  <c r="P2351" i="1"/>
  <c r="Q2351" i="1"/>
  <c r="A2352" i="1"/>
  <c r="B2352" i="1"/>
  <c r="C2352" i="1"/>
  <c r="E2352" i="1"/>
  <c r="F2352" i="1"/>
  <c r="G2352" i="1"/>
  <c r="H2352" i="1"/>
  <c r="I2352" i="1"/>
  <c r="J2352" i="1"/>
  <c r="K2352" i="1"/>
  <c r="L2352" i="1"/>
  <c r="M2352" i="1"/>
  <c r="N2352" i="1"/>
  <c r="O2352" i="1"/>
  <c r="P2352" i="1"/>
  <c r="Q2352" i="1"/>
  <c r="A2353" i="1"/>
  <c r="B2353" i="1"/>
  <c r="C2353" i="1"/>
  <c r="D2353" i="1"/>
  <c r="E2353" i="1"/>
  <c r="F2353" i="1"/>
  <c r="G2353" i="1"/>
  <c r="H2353" i="1"/>
  <c r="I2353" i="1"/>
  <c r="J2353" i="1"/>
  <c r="K2353" i="1"/>
  <c r="L2353" i="1"/>
  <c r="M2353" i="1"/>
  <c r="N2353" i="1"/>
  <c r="O2353" i="1"/>
  <c r="P2353" i="1"/>
  <c r="Q2353" i="1"/>
  <c r="A2354" i="1"/>
  <c r="B2354" i="1"/>
  <c r="C2354" i="1"/>
  <c r="E2354" i="1"/>
  <c r="F2354" i="1"/>
  <c r="G2354" i="1"/>
  <c r="H2354" i="1"/>
  <c r="I2354" i="1"/>
  <c r="J2354" i="1"/>
  <c r="K2354" i="1"/>
  <c r="L2354" i="1"/>
  <c r="M2354" i="1"/>
  <c r="N2354" i="1"/>
  <c r="O2354" i="1"/>
  <c r="P2354" i="1"/>
  <c r="Q2354" i="1"/>
  <c r="A2355" i="1"/>
  <c r="B2355" i="1"/>
  <c r="C2355" i="1"/>
  <c r="D2355" i="1"/>
  <c r="E2355" i="1"/>
  <c r="F2355" i="1"/>
  <c r="G2355" i="1"/>
  <c r="H2355" i="1"/>
  <c r="I2355" i="1"/>
  <c r="J2355" i="1"/>
  <c r="K2355" i="1"/>
  <c r="L2355" i="1"/>
  <c r="M2355" i="1"/>
  <c r="N2355" i="1"/>
  <c r="O2355" i="1"/>
  <c r="P2355" i="1"/>
  <c r="Q2355" i="1"/>
  <c r="A2356" i="1"/>
  <c r="B2356" i="1"/>
  <c r="C2356" i="1"/>
  <c r="E2356" i="1"/>
  <c r="F2356" i="1"/>
  <c r="G2356" i="1"/>
  <c r="H2356" i="1"/>
  <c r="I2356" i="1"/>
  <c r="J2356" i="1"/>
  <c r="K2356" i="1"/>
  <c r="L2356" i="1"/>
  <c r="M2356" i="1"/>
  <c r="N2356" i="1"/>
  <c r="O2356" i="1"/>
  <c r="P2356" i="1"/>
  <c r="Q2356" i="1"/>
  <c r="A2357" i="1"/>
  <c r="B2357" i="1"/>
  <c r="C2357" i="1"/>
  <c r="E2357" i="1"/>
  <c r="F2357" i="1"/>
  <c r="G2357" i="1"/>
  <c r="H2357" i="1"/>
  <c r="I2357" i="1"/>
  <c r="J2357" i="1"/>
  <c r="K2357" i="1"/>
  <c r="L2357" i="1"/>
  <c r="M2357" i="1"/>
  <c r="N2357" i="1"/>
  <c r="O2357" i="1"/>
  <c r="P2357" i="1"/>
  <c r="Q2357" i="1"/>
  <c r="A2358" i="1"/>
  <c r="B2358" i="1"/>
  <c r="E2358" i="1"/>
  <c r="F2358" i="1"/>
  <c r="G2358" i="1"/>
  <c r="H2358" i="1"/>
  <c r="I2358" i="1"/>
  <c r="J2358" i="1"/>
  <c r="K2358" i="1"/>
  <c r="L2358" i="1"/>
  <c r="M2358" i="1"/>
  <c r="N2358" i="1"/>
  <c r="O2358" i="1"/>
  <c r="P2358" i="1"/>
  <c r="Q2358" i="1"/>
  <c r="A2359" i="1"/>
  <c r="B2359" i="1"/>
  <c r="D2359" i="1"/>
  <c r="E2359" i="1"/>
  <c r="F2359" i="1"/>
  <c r="G2359" i="1"/>
  <c r="H2359" i="1"/>
  <c r="I2359" i="1"/>
  <c r="J2359" i="1"/>
  <c r="K2359" i="1"/>
  <c r="L2359" i="1"/>
  <c r="M2359" i="1"/>
  <c r="N2359" i="1"/>
  <c r="O2359" i="1"/>
  <c r="P2359" i="1"/>
  <c r="Q2359" i="1"/>
  <c r="A2360" i="1"/>
  <c r="B2360" i="1"/>
  <c r="E2360" i="1"/>
  <c r="F2360" i="1"/>
  <c r="G2360" i="1"/>
  <c r="H2360" i="1"/>
  <c r="I2360" i="1"/>
  <c r="J2360" i="1"/>
  <c r="K2360" i="1"/>
  <c r="L2360" i="1"/>
  <c r="M2360" i="1"/>
  <c r="N2360" i="1"/>
  <c r="O2360" i="1"/>
  <c r="P2360" i="1"/>
  <c r="Q2360" i="1"/>
  <c r="A2361" i="1"/>
  <c r="B2361" i="1"/>
  <c r="E2361" i="1"/>
  <c r="F2361" i="1"/>
  <c r="G2361" i="1"/>
  <c r="H2361" i="1"/>
  <c r="I2361" i="1"/>
  <c r="J2361" i="1"/>
  <c r="K2361" i="1"/>
  <c r="L2361" i="1"/>
  <c r="M2361" i="1"/>
  <c r="N2361" i="1"/>
  <c r="O2361" i="1"/>
  <c r="P2361" i="1"/>
  <c r="Q2361" i="1"/>
  <c r="A2362" i="1"/>
  <c r="B2362" i="1"/>
  <c r="E2362" i="1"/>
  <c r="F2362" i="1"/>
  <c r="G2362" i="1"/>
  <c r="H2362" i="1"/>
  <c r="I2362" i="1"/>
  <c r="J2362" i="1"/>
  <c r="K2362" i="1"/>
  <c r="L2362" i="1"/>
  <c r="M2362" i="1"/>
  <c r="N2362" i="1"/>
  <c r="O2362" i="1"/>
  <c r="P2362" i="1"/>
  <c r="Q2362" i="1"/>
  <c r="A2363" i="1"/>
  <c r="B2363" i="1"/>
  <c r="C2363" i="1"/>
  <c r="D2363" i="1"/>
  <c r="E2363" i="1"/>
  <c r="F2363" i="1"/>
  <c r="G2363" i="1"/>
  <c r="H2363" i="1"/>
  <c r="I2363" i="1"/>
  <c r="J2363" i="1"/>
  <c r="K2363" i="1"/>
  <c r="L2363" i="1"/>
  <c r="M2363" i="1"/>
  <c r="N2363" i="1"/>
  <c r="O2363" i="1"/>
  <c r="P2363" i="1"/>
  <c r="Q2363" i="1"/>
  <c r="A2364" i="1"/>
  <c r="B2364" i="1"/>
  <c r="C2364" i="1"/>
  <c r="D2364" i="1"/>
  <c r="E2364" i="1"/>
  <c r="F2364" i="1"/>
  <c r="G2364" i="1"/>
  <c r="H2364" i="1"/>
  <c r="I2364" i="1"/>
  <c r="J2364" i="1"/>
  <c r="K2364" i="1"/>
  <c r="L2364" i="1"/>
  <c r="M2364" i="1"/>
  <c r="N2364" i="1"/>
  <c r="O2364" i="1"/>
  <c r="P2364" i="1"/>
  <c r="Q2364" i="1"/>
  <c r="A2365" i="1"/>
  <c r="B2365" i="1"/>
  <c r="C2365" i="1"/>
  <c r="D2365" i="1"/>
  <c r="E2365" i="1"/>
  <c r="F2365" i="1"/>
  <c r="G2365" i="1"/>
  <c r="H2365" i="1"/>
  <c r="I2365" i="1"/>
  <c r="J2365" i="1"/>
  <c r="K2365" i="1"/>
  <c r="L2365" i="1"/>
  <c r="M2365" i="1"/>
  <c r="N2365" i="1"/>
  <c r="O2365" i="1"/>
  <c r="P2365" i="1"/>
  <c r="Q2365" i="1"/>
  <c r="A2366" i="1"/>
  <c r="B2366" i="1"/>
  <c r="C2366" i="1"/>
  <c r="D2366" i="1"/>
  <c r="E2366" i="1"/>
  <c r="F2366" i="1"/>
  <c r="G2366" i="1"/>
  <c r="H2366" i="1"/>
  <c r="I2366" i="1"/>
  <c r="J2366" i="1"/>
  <c r="K2366" i="1"/>
  <c r="L2366" i="1"/>
  <c r="M2366" i="1"/>
  <c r="N2366" i="1"/>
  <c r="O2366" i="1"/>
  <c r="P2366" i="1"/>
  <c r="Q2366" i="1"/>
  <c r="A2367" i="1"/>
  <c r="B2367" i="1"/>
  <c r="D2367" i="1"/>
  <c r="E2367" i="1"/>
  <c r="F2367" i="1"/>
  <c r="G2367" i="1"/>
  <c r="H2367" i="1"/>
  <c r="I2367" i="1"/>
  <c r="J2367" i="1"/>
  <c r="K2367" i="1"/>
  <c r="L2367" i="1"/>
  <c r="M2367" i="1"/>
  <c r="N2367" i="1"/>
  <c r="O2367" i="1"/>
  <c r="P2367" i="1"/>
  <c r="Q2367" i="1"/>
  <c r="A2368" i="1"/>
  <c r="B2368" i="1"/>
  <c r="C2368" i="1"/>
  <c r="D2368" i="1"/>
  <c r="E2368" i="1"/>
  <c r="F2368" i="1"/>
  <c r="G2368" i="1"/>
  <c r="H2368" i="1"/>
  <c r="I2368" i="1"/>
  <c r="J2368" i="1"/>
  <c r="K2368" i="1"/>
  <c r="L2368" i="1"/>
  <c r="M2368" i="1"/>
  <c r="N2368" i="1"/>
  <c r="O2368" i="1"/>
  <c r="P2368" i="1"/>
  <c r="Q2368" i="1"/>
  <c r="A2369" i="1"/>
  <c r="B2369" i="1"/>
  <c r="C2369" i="1"/>
  <c r="E2369" i="1"/>
  <c r="F2369" i="1"/>
  <c r="G2369" i="1"/>
  <c r="H2369" i="1"/>
  <c r="I2369" i="1"/>
  <c r="J2369" i="1"/>
  <c r="K2369" i="1"/>
  <c r="L2369" i="1"/>
  <c r="M2369" i="1"/>
  <c r="N2369" i="1"/>
  <c r="O2369" i="1"/>
  <c r="P2369" i="1"/>
  <c r="Q2369" i="1"/>
  <c r="A2370" i="1"/>
  <c r="B2370" i="1"/>
  <c r="C2370" i="1"/>
  <c r="D2370" i="1"/>
  <c r="E2370" i="1"/>
  <c r="F2370" i="1"/>
  <c r="G2370" i="1"/>
  <c r="H2370" i="1"/>
  <c r="I2370" i="1"/>
  <c r="J2370" i="1"/>
  <c r="K2370" i="1"/>
  <c r="L2370" i="1"/>
  <c r="M2370" i="1"/>
  <c r="N2370" i="1"/>
  <c r="O2370" i="1"/>
  <c r="P2370" i="1"/>
  <c r="Q2370" i="1"/>
  <c r="A2371" i="1"/>
  <c r="B2371" i="1"/>
  <c r="C2371" i="1"/>
  <c r="D2371" i="1"/>
  <c r="E2371" i="1"/>
  <c r="F2371" i="1"/>
  <c r="G2371" i="1"/>
  <c r="H2371" i="1"/>
  <c r="I2371" i="1"/>
  <c r="J2371" i="1"/>
  <c r="K2371" i="1"/>
  <c r="L2371" i="1"/>
  <c r="M2371" i="1"/>
  <c r="N2371" i="1"/>
  <c r="O2371" i="1"/>
  <c r="P2371" i="1"/>
  <c r="Q2371" i="1"/>
  <c r="A2372" i="1"/>
  <c r="B2372" i="1"/>
  <c r="C2372" i="1"/>
  <c r="D2372" i="1"/>
  <c r="E2372" i="1"/>
  <c r="F2372" i="1"/>
  <c r="G2372" i="1"/>
  <c r="H2372" i="1"/>
  <c r="I2372" i="1"/>
  <c r="J2372" i="1"/>
  <c r="K2372" i="1"/>
  <c r="L2372" i="1"/>
  <c r="M2372" i="1"/>
  <c r="N2372" i="1"/>
  <c r="O2372" i="1"/>
  <c r="P2372" i="1"/>
  <c r="Q2372" i="1"/>
  <c r="A2373" i="1"/>
  <c r="B2373" i="1"/>
  <c r="C2373" i="1"/>
  <c r="D2373" i="1"/>
  <c r="E2373" i="1"/>
  <c r="F2373" i="1"/>
  <c r="G2373" i="1"/>
  <c r="H2373" i="1"/>
  <c r="I2373" i="1"/>
  <c r="J2373" i="1"/>
  <c r="K2373" i="1"/>
  <c r="L2373" i="1"/>
  <c r="M2373" i="1"/>
  <c r="N2373" i="1"/>
  <c r="O2373" i="1"/>
  <c r="P2373" i="1"/>
  <c r="Q2373" i="1"/>
  <c r="A2374" i="1"/>
  <c r="B2374" i="1"/>
  <c r="C2374" i="1"/>
  <c r="D2374" i="1"/>
  <c r="E2374" i="1"/>
  <c r="F2374" i="1"/>
  <c r="G2374" i="1"/>
  <c r="H2374" i="1"/>
  <c r="I2374" i="1"/>
  <c r="J2374" i="1"/>
  <c r="K2374" i="1"/>
  <c r="L2374" i="1"/>
  <c r="M2374" i="1"/>
  <c r="N2374" i="1"/>
  <c r="O2374" i="1"/>
  <c r="P2374" i="1"/>
  <c r="Q2374" i="1"/>
  <c r="A2375" i="1"/>
  <c r="B2375" i="1"/>
  <c r="C2375" i="1"/>
  <c r="D2375" i="1"/>
  <c r="E2375" i="1"/>
  <c r="F2375" i="1"/>
  <c r="G2375" i="1"/>
  <c r="H2375" i="1"/>
  <c r="I2375" i="1"/>
  <c r="J2375" i="1"/>
  <c r="K2375" i="1"/>
  <c r="L2375" i="1"/>
  <c r="M2375" i="1"/>
  <c r="N2375" i="1"/>
  <c r="O2375" i="1"/>
  <c r="P2375" i="1"/>
  <c r="Q2375" i="1"/>
  <c r="A2376" i="1"/>
  <c r="B2376" i="1"/>
  <c r="C2376" i="1"/>
  <c r="D2376" i="1"/>
  <c r="E2376" i="1"/>
  <c r="F2376" i="1"/>
  <c r="G2376" i="1"/>
  <c r="H2376" i="1"/>
  <c r="I2376" i="1"/>
  <c r="J2376" i="1"/>
  <c r="K2376" i="1"/>
  <c r="L2376" i="1"/>
  <c r="M2376" i="1"/>
  <c r="N2376" i="1"/>
  <c r="O2376" i="1"/>
  <c r="P2376" i="1"/>
  <c r="Q2376" i="1"/>
  <c r="A2377" i="1"/>
  <c r="B2377" i="1"/>
  <c r="C2377" i="1"/>
  <c r="D2377" i="1"/>
  <c r="E2377" i="1"/>
  <c r="F2377" i="1"/>
  <c r="G2377" i="1"/>
  <c r="H2377" i="1"/>
  <c r="I2377" i="1"/>
  <c r="J2377" i="1"/>
  <c r="K2377" i="1"/>
  <c r="L2377" i="1"/>
  <c r="M2377" i="1"/>
  <c r="N2377" i="1"/>
  <c r="O2377" i="1"/>
  <c r="P2377" i="1"/>
  <c r="Q2377" i="1"/>
  <c r="A2378" i="1"/>
  <c r="B2378" i="1"/>
  <c r="C2378" i="1"/>
  <c r="D2378" i="1"/>
  <c r="E2378" i="1"/>
  <c r="F2378" i="1"/>
  <c r="G2378" i="1"/>
  <c r="H2378" i="1"/>
  <c r="I2378" i="1"/>
  <c r="J2378" i="1"/>
  <c r="K2378" i="1"/>
  <c r="L2378" i="1"/>
  <c r="M2378" i="1"/>
  <c r="N2378" i="1"/>
  <c r="O2378" i="1"/>
  <c r="P2378" i="1"/>
  <c r="Q2378" i="1"/>
  <c r="A2379" i="1"/>
  <c r="B2379" i="1"/>
  <c r="C2379" i="1"/>
  <c r="D2379" i="1"/>
  <c r="E2379" i="1"/>
  <c r="F2379" i="1"/>
  <c r="G2379" i="1"/>
  <c r="H2379" i="1"/>
  <c r="I2379" i="1"/>
  <c r="J2379" i="1"/>
  <c r="K2379" i="1"/>
  <c r="L2379" i="1"/>
  <c r="M2379" i="1"/>
  <c r="N2379" i="1"/>
  <c r="O2379" i="1"/>
  <c r="P2379" i="1"/>
  <c r="Q2379" i="1"/>
  <c r="A2380" i="1"/>
  <c r="B2380" i="1"/>
  <c r="C2380" i="1"/>
  <c r="D2380" i="1"/>
  <c r="E2380" i="1"/>
  <c r="F2380" i="1"/>
  <c r="G2380" i="1"/>
  <c r="H2380" i="1"/>
  <c r="I2380" i="1"/>
  <c r="J2380" i="1"/>
  <c r="K2380" i="1"/>
  <c r="L2380" i="1"/>
  <c r="M2380" i="1"/>
  <c r="N2380" i="1"/>
  <c r="O2380" i="1"/>
  <c r="P2380" i="1"/>
  <c r="Q2380" i="1"/>
  <c r="A2381" i="1"/>
  <c r="B2381" i="1"/>
  <c r="E2381" i="1"/>
  <c r="F2381" i="1"/>
  <c r="G2381" i="1"/>
  <c r="H2381" i="1"/>
  <c r="I2381" i="1"/>
  <c r="J2381" i="1"/>
  <c r="K2381" i="1"/>
  <c r="L2381" i="1"/>
  <c r="M2381" i="1"/>
  <c r="N2381" i="1"/>
  <c r="O2381" i="1"/>
  <c r="P2381" i="1"/>
  <c r="Q2381" i="1"/>
  <c r="A2382" i="1"/>
  <c r="B2382" i="1"/>
  <c r="C2382" i="1"/>
  <c r="D2382" i="1"/>
  <c r="E2382" i="1"/>
  <c r="F2382" i="1"/>
  <c r="G2382" i="1"/>
  <c r="H2382" i="1"/>
  <c r="I2382" i="1"/>
  <c r="J2382" i="1"/>
  <c r="K2382" i="1"/>
  <c r="L2382" i="1"/>
  <c r="M2382" i="1"/>
  <c r="N2382" i="1"/>
  <c r="O2382" i="1"/>
  <c r="P2382" i="1"/>
  <c r="Q2382" i="1"/>
  <c r="A2383" i="1"/>
  <c r="B2383" i="1"/>
  <c r="C2383" i="1"/>
  <c r="D2383" i="1"/>
  <c r="E2383" i="1"/>
  <c r="F2383" i="1"/>
  <c r="G2383" i="1"/>
  <c r="H2383" i="1"/>
  <c r="I2383" i="1"/>
  <c r="J2383" i="1"/>
  <c r="K2383" i="1"/>
  <c r="L2383" i="1"/>
  <c r="M2383" i="1"/>
  <c r="N2383" i="1"/>
  <c r="O2383" i="1"/>
  <c r="P2383" i="1"/>
  <c r="Q2383" i="1"/>
  <c r="A2384" i="1"/>
  <c r="B2384" i="1"/>
  <c r="C2384" i="1"/>
  <c r="D2384" i="1"/>
  <c r="E2384" i="1"/>
  <c r="F2384" i="1"/>
  <c r="G2384" i="1"/>
  <c r="H2384" i="1"/>
  <c r="I2384" i="1"/>
  <c r="J2384" i="1"/>
  <c r="K2384" i="1"/>
  <c r="L2384" i="1"/>
  <c r="M2384" i="1"/>
  <c r="N2384" i="1"/>
  <c r="O2384" i="1"/>
  <c r="P2384" i="1"/>
  <c r="Q2384" i="1"/>
  <c r="A2385" i="1"/>
  <c r="B2385" i="1"/>
  <c r="C2385" i="1"/>
  <c r="D2385" i="1"/>
  <c r="E2385" i="1"/>
  <c r="F2385" i="1"/>
  <c r="G2385" i="1"/>
  <c r="H2385" i="1"/>
  <c r="I2385" i="1"/>
  <c r="J2385" i="1"/>
  <c r="K2385" i="1"/>
  <c r="L2385" i="1"/>
  <c r="M2385" i="1"/>
  <c r="N2385" i="1"/>
  <c r="O2385" i="1"/>
  <c r="P2385" i="1"/>
  <c r="Q2385" i="1"/>
  <c r="A2386" i="1"/>
  <c r="B2386" i="1"/>
  <c r="C2386" i="1"/>
  <c r="E2386" i="1"/>
  <c r="F2386" i="1"/>
  <c r="G2386" i="1"/>
  <c r="H2386" i="1"/>
  <c r="I2386" i="1"/>
  <c r="J2386" i="1"/>
  <c r="K2386" i="1"/>
  <c r="L2386" i="1"/>
  <c r="M2386" i="1"/>
  <c r="N2386" i="1"/>
  <c r="O2386" i="1"/>
  <c r="P2386" i="1"/>
  <c r="Q2386" i="1"/>
  <c r="A2387" i="1"/>
  <c r="B2387" i="1"/>
  <c r="C2387" i="1"/>
  <c r="D2387" i="1"/>
  <c r="E2387" i="1"/>
  <c r="F2387" i="1"/>
  <c r="G2387" i="1"/>
  <c r="H2387" i="1"/>
  <c r="I2387" i="1"/>
  <c r="J2387" i="1"/>
  <c r="K2387" i="1"/>
  <c r="L2387" i="1"/>
  <c r="M2387" i="1"/>
  <c r="N2387" i="1"/>
  <c r="O2387" i="1"/>
  <c r="P2387" i="1"/>
  <c r="Q2387" i="1"/>
  <c r="A2388" i="1"/>
  <c r="B2388" i="1"/>
  <c r="C2388" i="1"/>
  <c r="D2388" i="1"/>
  <c r="E2388" i="1"/>
  <c r="F2388" i="1"/>
  <c r="G2388" i="1"/>
  <c r="H2388" i="1"/>
  <c r="I2388" i="1"/>
  <c r="J2388" i="1"/>
  <c r="K2388" i="1"/>
  <c r="L2388" i="1"/>
  <c r="M2388" i="1"/>
  <c r="N2388" i="1"/>
  <c r="O2388" i="1"/>
  <c r="P2388" i="1"/>
  <c r="Q2388" i="1"/>
  <c r="A2389" i="1"/>
  <c r="B2389" i="1"/>
  <c r="C2389" i="1"/>
  <c r="D2389" i="1"/>
  <c r="E2389" i="1"/>
  <c r="F2389" i="1"/>
  <c r="G2389" i="1"/>
  <c r="H2389" i="1"/>
  <c r="I2389" i="1"/>
  <c r="J2389" i="1"/>
  <c r="K2389" i="1"/>
  <c r="L2389" i="1"/>
  <c r="M2389" i="1"/>
  <c r="N2389" i="1"/>
  <c r="O2389" i="1"/>
  <c r="P2389" i="1"/>
  <c r="Q2389" i="1"/>
  <c r="A2390" i="1"/>
  <c r="B2390" i="1"/>
  <c r="C2390" i="1"/>
  <c r="D2390" i="1"/>
  <c r="E2390" i="1"/>
  <c r="F2390" i="1"/>
  <c r="G2390" i="1"/>
  <c r="H2390" i="1"/>
  <c r="I2390" i="1"/>
  <c r="J2390" i="1"/>
  <c r="K2390" i="1"/>
  <c r="L2390" i="1"/>
  <c r="M2390" i="1"/>
  <c r="N2390" i="1"/>
  <c r="O2390" i="1"/>
  <c r="P2390" i="1"/>
  <c r="Q2390" i="1"/>
  <c r="A2391" i="1"/>
  <c r="B2391" i="1"/>
  <c r="C2391" i="1"/>
  <c r="D2391" i="1"/>
  <c r="E2391" i="1"/>
  <c r="F2391" i="1"/>
  <c r="G2391" i="1"/>
  <c r="H2391" i="1"/>
  <c r="I2391" i="1"/>
  <c r="J2391" i="1"/>
  <c r="K2391" i="1"/>
  <c r="L2391" i="1"/>
  <c r="M2391" i="1"/>
  <c r="N2391" i="1"/>
  <c r="O2391" i="1"/>
  <c r="P2391" i="1"/>
  <c r="Q2391" i="1"/>
  <c r="A2392" i="1"/>
  <c r="B2392" i="1"/>
  <c r="C2392" i="1"/>
  <c r="D2392" i="1"/>
  <c r="E2392" i="1"/>
  <c r="F2392" i="1"/>
  <c r="G2392" i="1"/>
  <c r="H2392" i="1"/>
  <c r="I2392" i="1"/>
  <c r="J2392" i="1"/>
  <c r="K2392" i="1"/>
  <c r="L2392" i="1"/>
  <c r="M2392" i="1"/>
  <c r="N2392" i="1"/>
  <c r="O2392" i="1"/>
  <c r="P2392" i="1"/>
  <c r="Q2392" i="1"/>
  <c r="A2393" i="1"/>
  <c r="B2393" i="1"/>
  <c r="C2393" i="1"/>
  <c r="D2393" i="1"/>
  <c r="E2393" i="1"/>
  <c r="F2393" i="1"/>
  <c r="G2393" i="1"/>
  <c r="H2393" i="1"/>
  <c r="I2393" i="1"/>
  <c r="J2393" i="1"/>
  <c r="K2393" i="1"/>
  <c r="L2393" i="1"/>
  <c r="M2393" i="1"/>
  <c r="N2393" i="1"/>
  <c r="O2393" i="1"/>
  <c r="P2393" i="1"/>
  <c r="Q2393" i="1"/>
  <c r="A2394" i="1"/>
  <c r="B2394" i="1"/>
  <c r="C2394" i="1"/>
  <c r="D2394" i="1"/>
  <c r="E2394" i="1"/>
  <c r="F2394" i="1"/>
  <c r="G2394" i="1"/>
  <c r="H2394" i="1"/>
  <c r="I2394" i="1"/>
  <c r="J2394" i="1"/>
  <c r="K2394" i="1"/>
  <c r="L2394" i="1"/>
  <c r="M2394" i="1"/>
  <c r="N2394" i="1"/>
  <c r="O2394" i="1"/>
  <c r="P2394" i="1"/>
  <c r="Q2394" i="1"/>
  <c r="A2395" i="1"/>
  <c r="B2395" i="1"/>
  <c r="C2395" i="1"/>
  <c r="D2395" i="1"/>
  <c r="E2395" i="1"/>
  <c r="F2395" i="1"/>
  <c r="G2395" i="1"/>
  <c r="H2395" i="1"/>
  <c r="I2395" i="1"/>
  <c r="J2395" i="1"/>
  <c r="K2395" i="1"/>
  <c r="L2395" i="1"/>
  <c r="M2395" i="1"/>
  <c r="N2395" i="1"/>
  <c r="O2395" i="1"/>
  <c r="P2395" i="1"/>
  <c r="Q2395" i="1"/>
  <c r="A2396" i="1"/>
  <c r="B2396" i="1"/>
  <c r="C2396" i="1"/>
  <c r="D2396" i="1"/>
  <c r="E2396" i="1"/>
  <c r="F2396" i="1"/>
  <c r="G2396" i="1"/>
  <c r="H2396" i="1"/>
  <c r="I2396" i="1"/>
  <c r="J2396" i="1"/>
  <c r="K2396" i="1"/>
  <c r="L2396" i="1"/>
  <c r="M2396" i="1"/>
  <c r="N2396" i="1"/>
  <c r="O2396" i="1"/>
  <c r="P2396" i="1"/>
  <c r="Q2396" i="1"/>
  <c r="A2397" i="1"/>
  <c r="B2397" i="1"/>
  <c r="C2397" i="1"/>
  <c r="E2397" i="1"/>
  <c r="F2397" i="1"/>
  <c r="G2397" i="1"/>
  <c r="H2397" i="1"/>
  <c r="I2397" i="1"/>
  <c r="J2397" i="1"/>
  <c r="K2397" i="1"/>
  <c r="L2397" i="1"/>
  <c r="M2397" i="1"/>
  <c r="N2397" i="1"/>
  <c r="O2397" i="1"/>
  <c r="P2397" i="1"/>
  <c r="Q2397" i="1"/>
  <c r="A2398" i="1"/>
  <c r="B2398" i="1"/>
  <c r="C2398" i="1"/>
  <c r="D2398" i="1"/>
  <c r="E2398" i="1"/>
  <c r="F2398" i="1"/>
  <c r="G2398" i="1"/>
  <c r="H2398" i="1"/>
  <c r="I2398" i="1"/>
  <c r="J2398" i="1"/>
  <c r="K2398" i="1"/>
  <c r="L2398" i="1"/>
  <c r="M2398" i="1"/>
  <c r="N2398" i="1"/>
  <c r="O2398" i="1"/>
  <c r="P2398" i="1"/>
  <c r="Q2398" i="1"/>
  <c r="A2399" i="1"/>
  <c r="B2399" i="1"/>
  <c r="C2399" i="1"/>
  <c r="E2399" i="1"/>
  <c r="F2399" i="1"/>
  <c r="G2399" i="1"/>
  <c r="H2399" i="1"/>
  <c r="I2399" i="1"/>
  <c r="J2399" i="1"/>
  <c r="K2399" i="1"/>
  <c r="L2399" i="1"/>
  <c r="M2399" i="1"/>
  <c r="N2399" i="1"/>
  <c r="O2399" i="1"/>
  <c r="P2399" i="1"/>
  <c r="Q2399" i="1"/>
  <c r="A2400" i="1"/>
  <c r="B2400" i="1"/>
  <c r="C2400" i="1"/>
  <c r="D2400" i="1"/>
  <c r="E2400" i="1"/>
  <c r="F2400" i="1"/>
  <c r="G2400" i="1"/>
  <c r="H2400" i="1"/>
  <c r="I2400" i="1"/>
  <c r="J2400" i="1"/>
  <c r="K2400" i="1"/>
  <c r="L2400" i="1"/>
  <c r="M2400" i="1"/>
  <c r="N2400" i="1"/>
  <c r="O2400" i="1"/>
  <c r="P2400" i="1"/>
  <c r="Q2400" i="1"/>
  <c r="A2401" i="1"/>
  <c r="B2401" i="1"/>
  <c r="C2401" i="1"/>
  <c r="D2401" i="1"/>
  <c r="E2401" i="1"/>
  <c r="F2401" i="1"/>
  <c r="G2401" i="1"/>
  <c r="H2401" i="1"/>
  <c r="I2401" i="1"/>
  <c r="J2401" i="1"/>
  <c r="K2401" i="1"/>
  <c r="L2401" i="1"/>
  <c r="M2401" i="1"/>
  <c r="N2401" i="1"/>
  <c r="O2401" i="1"/>
  <c r="P2401" i="1"/>
  <c r="Q2401" i="1"/>
  <c r="A2402" i="1"/>
  <c r="B2402" i="1"/>
  <c r="C2402" i="1"/>
  <c r="D2402" i="1"/>
  <c r="E2402" i="1"/>
  <c r="F2402" i="1"/>
  <c r="G2402" i="1"/>
  <c r="H2402" i="1"/>
  <c r="I2402" i="1"/>
  <c r="J2402" i="1"/>
  <c r="K2402" i="1"/>
  <c r="L2402" i="1"/>
  <c r="M2402" i="1"/>
  <c r="N2402" i="1"/>
  <c r="O2402" i="1"/>
  <c r="P2402" i="1"/>
  <c r="Q2402" i="1"/>
  <c r="A2403" i="1"/>
  <c r="B2403" i="1"/>
  <c r="C2403" i="1"/>
  <c r="D2403" i="1"/>
  <c r="E2403" i="1"/>
  <c r="F2403" i="1"/>
  <c r="G2403" i="1"/>
  <c r="H2403" i="1"/>
  <c r="I2403" i="1"/>
  <c r="J2403" i="1"/>
  <c r="K2403" i="1"/>
  <c r="L2403" i="1"/>
  <c r="M2403" i="1"/>
  <c r="N2403" i="1"/>
  <c r="O2403" i="1"/>
  <c r="P2403" i="1"/>
  <c r="Q2403" i="1"/>
  <c r="A2404" i="1"/>
  <c r="B2404" i="1"/>
  <c r="C2404" i="1"/>
  <c r="D2404" i="1"/>
  <c r="E2404" i="1"/>
  <c r="F2404" i="1"/>
  <c r="G2404" i="1"/>
  <c r="H2404" i="1"/>
  <c r="I2404" i="1"/>
  <c r="J2404" i="1"/>
  <c r="K2404" i="1"/>
  <c r="L2404" i="1"/>
  <c r="M2404" i="1"/>
  <c r="N2404" i="1"/>
  <c r="O2404" i="1"/>
  <c r="P2404" i="1"/>
  <c r="Q2404" i="1"/>
  <c r="A2405" i="1"/>
  <c r="B2405" i="1"/>
  <c r="C2405" i="1"/>
  <c r="D2405" i="1"/>
  <c r="E2405" i="1"/>
  <c r="F2405" i="1"/>
  <c r="G2405" i="1"/>
  <c r="H2405" i="1"/>
  <c r="I2405" i="1"/>
  <c r="J2405" i="1"/>
  <c r="K2405" i="1"/>
  <c r="L2405" i="1"/>
  <c r="M2405" i="1"/>
  <c r="N2405" i="1"/>
  <c r="O2405" i="1"/>
  <c r="P2405" i="1"/>
  <c r="Q2405" i="1"/>
  <c r="A2406" i="1"/>
  <c r="B2406" i="1"/>
  <c r="C2406" i="1"/>
  <c r="D2406" i="1"/>
  <c r="E2406" i="1"/>
  <c r="F2406" i="1"/>
  <c r="G2406" i="1"/>
  <c r="H2406" i="1"/>
  <c r="I2406" i="1"/>
  <c r="J2406" i="1"/>
  <c r="K2406" i="1"/>
  <c r="L2406" i="1"/>
  <c r="M2406" i="1"/>
  <c r="N2406" i="1"/>
  <c r="O2406" i="1"/>
  <c r="P2406" i="1"/>
  <c r="Q2406" i="1"/>
  <c r="A2407" i="1"/>
  <c r="B2407" i="1"/>
  <c r="C2407" i="1"/>
  <c r="D2407" i="1"/>
  <c r="E2407" i="1"/>
  <c r="F2407" i="1"/>
  <c r="G2407" i="1"/>
  <c r="H2407" i="1"/>
  <c r="I2407" i="1"/>
  <c r="J2407" i="1"/>
  <c r="K2407" i="1"/>
  <c r="L2407" i="1"/>
  <c r="M2407" i="1"/>
  <c r="N2407" i="1"/>
  <c r="O2407" i="1"/>
  <c r="P2407" i="1"/>
  <c r="Q2407" i="1"/>
  <c r="A2408" i="1"/>
  <c r="B2408" i="1"/>
  <c r="C2408" i="1"/>
  <c r="D2408" i="1"/>
  <c r="E2408" i="1"/>
  <c r="F2408" i="1"/>
  <c r="G2408" i="1"/>
  <c r="H2408" i="1"/>
  <c r="I2408" i="1"/>
  <c r="J2408" i="1"/>
  <c r="K2408" i="1"/>
  <c r="L2408" i="1"/>
  <c r="M2408" i="1"/>
  <c r="N2408" i="1"/>
  <c r="O2408" i="1"/>
  <c r="P2408" i="1"/>
  <c r="Q2408" i="1"/>
  <c r="A2409" i="1"/>
  <c r="B2409" i="1"/>
  <c r="C2409" i="1"/>
  <c r="D2409" i="1"/>
  <c r="E2409" i="1"/>
  <c r="F2409" i="1"/>
  <c r="G2409" i="1"/>
  <c r="H2409" i="1"/>
  <c r="I2409" i="1"/>
  <c r="J2409" i="1"/>
  <c r="K2409" i="1"/>
  <c r="L2409" i="1"/>
  <c r="M2409" i="1"/>
  <c r="N2409" i="1"/>
  <c r="O2409" i="1"/>
  <c r="P2409" i="1"/>
  <c r="Q2409" i="1"/>
  <c r="A2410" i="1"/>
  <c r="B2410" i="1"/>
  <c r="C2410" i="1"/>
  <c r="D2410" i="1"/>
  <c r="E2410" i="1"/>
  <c r="F2410" i="1"/>
  <c r="G2410" i="1"/>
  <c r="H2410" i="1"/>
  <c r="I2410" i="1"/>
  <c r="J2410" i="1"/>
  <c r="K2410" i="1"/>
  <c r="L2410" i="1"/>
  <c r="M2410" i="1"/>
  <c r="N2410" i="1"/>
  <c r="O2410" i="1"/>
  <c r="P2410" i="1"/>
  <c r="Q2410" i="1"/>
  <c r="A2411" i="1"/>
  <c r="B2411" i="1"/>
  <c r="C2411" i="1"/>
  <c r="D2411" i="1"/>
  <c r="E2411" i="1"/>
  <c r="F2411" i="1"/>
  <c r="G2411" i="1"/>
  <c r="H2411" i="1"/>
  <c r="I2411" i="1"/>
  <c r="J2411" i="1"/>
  <c r="K2411" i="1"/>
  <c r="L2411" i="1"/>
  <c r="M2411" i="1"/>
  <c r="N2411" i="1"/>
  <c r="O2411" i="1"/>
  <c r="P2411" i="1"/>
  <c r="Q2411" i="1"/>
  <c r="A2412" i="1"/>
  <c r="B2412" i="1"/>
  <c r="C2412" i="1"/>
  <c r="D2412" i="1"/>
  <c r="E2412" i="1"/>
  <c r="F2412" i="1"/>
  <c r="G2412" i="1"/>
  <c r="H2412" i="1"/>
  <c r="I2412" i="1"/>
  <c r="J2412" i="1"/>
  <c r="K2412" i="1"/>
  <c r="L2412" i="1"/>
  <c r="M2412" i="1"/>
  <c r="N2412" i="1"/>
  <c r="O2412" i="1"/>
  <c r="P2412" i="1"/>
  <c r="Q2412" i="1"/>
  <c r="A2413" i="1"/>
  <c r="B2413" i="1"/>
  <c r="C2413" i="1"/>
  <c r="D2413" i="1"/>
  <c r="E2413" i="1"/>
  <c r="F2413" i="1"/>
  <c r="G2413" i="1"/>
  <c r="H2413" i="1"/>
  <c r="I2413" i="1"/>
  <c r="J2413" i="1"/>
  <c r="K2413" i="1"/>
  <c r="L2413" i="1"/>
  <c r="M2413" i="1"/>
  <c r="N2413" i="1"/>
  <c r="O2413" i="1"/>
  <c r="P2413" i="1"/>
  <c r="Q2413" i="1"/>
  <c r="A2414" i="1"/>
  <c r="B2414" i="1"/>
  <c r="C2414" i="1"/>
  <c r="D2414" i="1"/>
  <c r="E2414" i="1"/>
  <c r="F2414" i="1"/>
  <c r="G2414" i="1"/>
  <c r="H2414" i="1"/>
  <c r="I2414" i="1"/>
  <c r="J2414" i="1"/>
  <c r="K2414" i="1"/>
  <c r="L2414" i="1"/>
  <c r="M2414" i="1"/>
  <c r="N2414" i="1"/>
  <c r="O2414" i="1"/>
  <c r="P2414" i="1"/>
  <c r="Q2414" i="1"/>
  <c r="A2415" i="1"/>
  <c r="B2415" i="1"/>
  <c r="C2415" i="1"/>
  <c r="D2415" i="1"/>
  <c r="E2415" i="1"/>
  <c r="F2415" i="1"/>
  <c r="G2415" i="1"/>
  <c r="H2415" i="1"/>
  <c r="I2415" i="1"/>
  <c r="J2415" i="1"/>
  <c r="K2415" i="1"/>
  <c r="L2415" i="1"/>
  <c r="M2415" i="1"/>
  <c r="N2415" i="1"/>
  <c r="O2415" i="1"/>
  <c r="P2415" i="1"/>
  <c r="Q2415" i="1"/>
  <c r="A2416" i="1"/>
  <c r="B2416" i="1"/>
  <c r="C2416" i="1"/>
  <c r="E2416" i="1"/>
  <c r="F2416" i="1"/>
  <c r="G2416" i="1"/>
  <c r="H2416" i="1"/>
  <c r="I2416" i="1"/>
  <c r="J2416" i="1"/>
  <c r="K2416" i="1"/>
  <c r="L2416" i="1"/>
  <c r="M2416" i="1"/>
  <c r="N2416" i="1"/>
  <c r="O2416" i="1"/>
  <c r="P2416" i="1"/>
  <c r="Q2416" i="1"/>
  <c r="A2417" i="1"/>
  <c r="B2417" i="1"/>
  <c r="C2417" i="1"/>
  <c r="E2417" i="1"/>
  <c r="F2417" i="1"/>
  <c r="G2417" i="1"/>
  <c r="H2417" i="1"/>
  <c r="I2417" i="1"/>
  <c r="J2417" i="1"/>
  <c r="K2417" i="1"/>
  <c r="L2417" i="1"/>
  <c r="M2417" i="1"/>
  <c r="N2417" i="1"/>
  <c r="O2417" i="1"/>
  <c r="P2417" i="1"/>
  <c r="Q2417" i="1"/>
  <c r="A2418" i="1"/>
  <c r="B2418" i="1"/>
  <c r="C2418" i="1"/>
  <c r="D2418" i="1"/>
  <c r="E2418" i="1"/>
  <c r="F2418" i="1"/>
  <c r="G2418" i="1"/>
  <c r="H2418" i="1"/>
  <c r="I2418" i="1"/>
  <c r="J2418" i="1"/>
  <c r="K2418" i="1"/>
  <c r="L2418" i="1"/>
  <c r="M2418" i="1"/>
  <c r="N2418" i="1"/>
  <c r="O2418" i="1"/>
  <c r="P2418" i="1"/>
  <c r="Q2418" i="1"/>
  <c r="A2419" i="1"/>
  <c r="B2419" i="1"/>
  <c r="C2419" i="1"/>
  <c r="D2419" i="1"/>
  <c r="E2419" i="1"/>
  <c r="F2419" i="1"/>
  <c r="G2419" i="1"/>
  <c r="H2419" i="1"/>
  <c r="I2419" i="1"/>
  <c r="J2419" i="1"/>
  <c r="K2419" i="1"/>
  <c r="L2419" i="1"/>
  <c r="M2419" i="1"/>
  <c r="N2419" i="1"/>
  <c r="O2419" i="1"/>
  <c r="P2419" i="1"/>
  <c r="Q2419" i="1"/>
  <c r="A2420" i="1"/>
  <c r="B2420" i="1"/>
  <c r="C2420" i="1"/>
  <c r="E2420" i="1"/>
  <c r="F2420" i="1"/>
  <c r="G2420" i="1"/>
  <c r="H2420" i="1"/>
  <c r="I2420" i="1"/>
  <c r="J2420" i="1"/>
  <c r="K2420" i="1"/>
  <c r="L2420" i="1"/>
  <c r="M2420" i="1"/>
  <c r="N2420" i="1"/>
  <c r="O2420" i="1"/>
  <c r="P2420" i="1"/>
  <c r="Q2420" i="1"/>
  <c r="A2421" i="1"/>
  <c r="B2421" i="1"/>
  <c r="C2421" i="1"/>
  <c r="D2421" i="1"/>
  <c r="E2421" i="1"/>
  <c r="F2421" i="1"/>
  <c r="G2421" i="1"/>
  <c r="H2421" i="1"/>
  <c r="I2421" i="1"/>
  <c r="J2421" i="1"/>
  <c r="K2421" i="1"/>
  <c r="L2421" i="1"/>
  <c r="M2421" i="1"/>
  <c r="N2421" i="1"/>
  <c r="O2421" i="1"/>
  <c r="P2421" i="1"/>
  <c r="Q2421" i="1"/>
  <c r="A2422" i="1"/>
  <c r="B2422" i="1"/>
  <c r="C2422" i="1"/>
  <c r="D2422" i="1"/>
  <c r="E2422" i="1"/>
  <c r="F2422" i="1"/>
  <c r="G2422" i="1"/>
  <c r="H2422" i="1"/>
  <c r="I2422" i="1"/>
  <c r="J2422" i="1"/>
  <c r="K2422" i="1"/>
  <c r="L2422" i="1"/>
  <c r="M2422" i="1"/>
  <c r="N2422" i="1"/>
  <c r="O2422" i="1"/>
  <c r="P2422" i="1"/>
  <c r="Q2422" i="1"/>
  <c r="A2423" i="1"/>
  <c r="B2423" i="1"/>
  <c r="C2423" i="1"/>
  <c r="E2423" i="1"/>
  <c r="F2423" i="1"/>
  <c r="G2423" i="1"/>
  <c r="H2423" i="1"/>
  <c r="I2423" i="1"/>
  <c r="J2423" i="1"/>
  <c r="K2423" i="1"/>
  <c r="L2423" i="1"/>
  <c r="M2423" i="1"/>
  <c r="N2423" i="1"/>
  <c r="O2423" i="1"/>
  <c r="P2423" i="1"/>
  <c r="Q2423" i="1"/>
  <c r="A2424" i="1"/>
  <c r="B2424" i="1"/>
  <c r="C2424" i="1"/>
  <c r="E2424" i="1"/>
  <c r="F2424" i="1"/>
  <c r="G2424" i="1"/>
  <c r="H2424" i="1"/>
  <c r="I2424" i="1"/>
  <c r="J2424" i="1"/>
  <c r="K2424" i="1"/>
  <c r="L2424" i="1"/>
  <c r="M2424" i="1"/>
  <c r="N2424" i="1"/>
  <c r="O2424" i="1"/>
  <c r="P2424" i="1"/>
  <c r="Q2424" i="1"/>
</calcChain>
</file>

<file path=xl/sharedStrings.xml><?xml version="1.0" encoding="utf-8"?>
<sst xmlns="http://schemas.openxmlformats.org/spreadsheetml/2006/main" count="845" uniqueCount="748">
  <si>
    <t>"방향타입(A:양쪽,R:오른,L:왼)"</t>
  </si>
  <si>
    <t>2차 검사 결과, 특이 소견 없습니다. 추적관찰 바랍니다.</t>
  </si>
  <si>
    <t>1차 검사에서는 검사를 제대로 수행하지 못했지만, 다시 검사한 폐기능검사는 특이소견이 없습니다. 작업 중 보호구를 잘 착용하고 환기를 잘 하시기 바랍니다.</t>
  </si>
  <si>
    <t>폐기능 검사를 제대로 수행하지 못하여 해석에 제한이 있으나, 진찰결과와 다른 검사 결과를 종합할 때 호흡기계 질환이 의심되지는 않습니다. 근무시 보호구를 잘 착용하고, 다음 검진시 확인하시기 바랍니다.</t>
  </si>
  <si>
    <t>빈혈관련수치에 경미한 이상이 보이지만, 혈색소는 정상 범위로 빈혈 상태는 아닙니다. 특별한 조치는 필요하지 않습니다.</t>
  </si>
  <si>
    <t>혈색소관련수치(빈혈관련수치)에 경미한 이상이 보이지만, 이것은 보조적인 지표입니다. 혈색소 수치와 관련된 판정의견을 참고하시기 바랍니다.(관련항목: 혈구용적치, 평균적혈구용적, 평균적혈구혈색소량, 평균적혈구혈색소농도).</t>
  </si>
  <si>
    <t>심전도검사 결과, 특이소견 없습니다.</t>
  </si>
  <si>
    <t>흉부방사선 검사상 결핵 등 과거 염증 흔적으로 정상소견입니다만, 만일을 위해 과거 사진과 비교해 보시기 바랍니다.</t>
  </si>
  <si>
    <t>동성 서맥 소견 확인됩니다. 현기증, 실신, 심부전 등의 증상이 없으실 경우 경과 관찰하시고 다음 정기검진시 변화 여부를 확인하시기 바랍니다.</t>
  </si>
  <si>
    <t>일종의 부정맥이지만, 대부분의 경우 특별한 문제는 없습니다. 만약 증상(두근거림, 숨참 등)이 있다면 심장내과 진료를 받으시기 바랍니다.</t>
  </si>
  <si>
    <t>우각차단 소견 확인됩니다. 흉통, 가슴 두근거림, 호흡곤란, 실신 등의 증상이 없으실 경우 경과 관찰하시고 다음 정기검진시 변화 여부를 확인하시기 바랍니다.</t>
  </si>
  <si>
    <t>심전도에서 좌심실로 가는 전기전달이 차단된 소견(좌각차단)이 보입니다. 건강한 사람에서는 별문제가 되지 않지만, 기질적인 심장질환과 연관되어 나타날수 있으므로 자세한 상담을 받아보시기 바랍니다.</t>
  </si>
  <si>
    <t>좌축편위 소견 확인됩니다. 임상적으로 의미없는 경우가 많으나 부정맥, 하벽 심근경색증 등에서도 나타날 수 있습니다. 호흡곤란, 흉부 불편감, 가슴 두근거림 등 증상이 있다면 순환기내과 진료를 받으시기 바랍니다.</t>
  </si>
  <si>
    <t>우축편위 소견 확인됩니다. 임상적으로 의미없는 경우가 많으나 폐질환, 선천성 심질환 등에서도 나타날 수 있습니다. 호흡곤란, 흉부 불편감 등 증상이 있다면 순환기내과 진료를 받으시기 바랍니다.</t>
  </si>
  <si>
    <t>간암표지자(AFP) 검사 결과, 정상 소견입니다. 다만 암지표 혈액검사만으로는 조기암 선별검사로서 미흡하므로 암검진은 정기적으로 받으시기 바랍니다.</t>
  </si>
  <si>
    <t>유방초음파 검사 결과, 양측 유방 정상소견입니다. 혈성분비물이 나오거나 유두 통증 등 증상이 있을 경우 외과 전문의 진료 바라며 증상이 없다면 정기검진을 받으시기 바랍니다.</t>
  </si>
  <si>
    <t>난소암, 자궁내막암의 암지표(CA-125) 검사 결과, 정상 소견입니다. 다만 암지표 혈액검사만으로는 조기암 선별검사로는 미흡하므로 추후 초음파 등의 암검진은 정기적으로 받으시기 바랍니다.</t>
  </si>
  <si>
    <t>위,췌장암지표(CA19-9) 검사 결과, 정상 소견입니다. 다만 암지표 혈액검사만으로는 조기암 선별검사로서 미흡하므로 암검진은 정기적으로 받으시기 바랍니다.</t>
  </si>
  <si>
    <t>대장암지표(CEA) 검사 결과, 정상 소견입니다. 다만 암지표 혈액검사만으로는 조기암 선별검사로는 미흡하므로 추후 초음파 등의 암검진은 정기적으로 받으시기 바랍니다.</t>
  </si>
  <si>
    <t>지질 혈액 검사 결과, 정상 소견입니다.</t>
  </si>
  <si>
    <t>전립선암지표 검사(PSA) 결과, 정상 소견입니다. 다만 암지표 혈액검사만으로는 조기암 선별검사로는 미흡하므로 암검진은 정기적으로 받으시기 바랍니다.</t>
  </si>
  <si>
    <t>증상이 없으면 임상적으로 큰 의미는 없습니다. 운동, 식이 조절을 통한 관리 바랍니다.</t>
  </si>
  <si>
    <t>분변잠혈반응 검사 결과 음성(대변에서 혈액이 검출되지 않음)입니다. 아무런 이상이 없을 가능성이 높으나 경우에 따라 대장에 병변(염증, 용종, 암 등)이 있는 경우에도 정상으로 나올 수 있습니다. 최근 체중감소,  혈변 등)이 있으면 진료상담을 받으시기 바랍니다.</t>
  </si>
  <si>
    <t>유방 촬영 검사에서 이상 소견 없습니다. 정기적으로 검사를 받으시기 바랍니다. 멍울이 만져지거나 유방 통증, 유즙 분비 등의 증상이 있으면 반드시 병원에 내원하여 검사를 받으시기 바랍니다.</t>
  </si>
  <si>
    <t>흉부방사선 사진 상 병변이 발견되었으나, 추가 검사나 치료가 필요할 가능성이 낮은 상태입니다.</t>
  </si>
  <si>
    <t>혈중납 정상 범위이지만, 보호구착용하여 근무하세요.</t>
  </si>
  <si>
    <t>혈압이 약간 높게 나타납니다. 고혈압을 예방하기 위해서는 싱겁게 드시고(저염식), 규칙적인 운동으로 체중이 증가하지 않도록 하십시요.</t>
  </si>
  <si>
    <t>고혈압 재검사 결과, 정상 혈압입니다. 다음 검사시에 추적관찰 바랍니다.</t>
  </si>
  <si>
    <t>흉부방사선검사 척추측만증 소견입니다. 허리통증, 하지저림 등의 증상이 있는 경우, 정형외과 또는 재활의학과 진료 바랍니다.</t>
  </si>
  <si>
    <t>가래 채취가 잘못 되었기에 검사의 신뢰도가 떨어집니다. 다른 검사결과를 종합할 때 특별한 이상은 없을 것으로 보이지만, 근무시 보호구를 철저히 착용하시고, 정기적으로 검진을 받으시기 바랍니다.</t>
  </si>
  <si>
    <t>비뇨기계 2차 건강검진 결과 정상입니다. 유해물질에 노출 시 보호구 착용하시고, 건강 검진 시 확인하세요.</t>
  </si>
  <si>
    <t>결핵균에 대한 객담도말검사 결과 음성 소견으로 비활동성 폐결핵으로 판단됩니다. 근무하실때 보호구 착용하시고 기침,호흡곤란 등의 증상 발생시 내과 진료바랍니다.</t>
  </si>
  <si>
    <t>대변잠혈반응 검사 결과 음성입니다. 그러나 최근 의심되는 증상(체중감소, 대변 굵기의 변화, 혈변 등)이 있으면 의료기관을 방문하시어 진료상담을 받으시기 바랍니다.</t>
  </si>
  <si>
    <t>대변잠혈반응 검사 결과 음성입니다. 그러나 의심되는 증상(체중감소, 대변 굵기의 변화, 혈변 등)이 있으면 의료기관을 방문하시어 진료상담을 받으시기 바랍니다</t>
  </si>
  <si>
    <t>기억력,집중력,반응속도 및 미세운동기능 등 신경행동기능 정상 소견입니다. 작업시 보호구착용 철저히 하시기 바랍니다.</t>
  </si>
  <si>
    <t>청력 검사 결과, 오른쪽 귀의 청력은 정상 소견입니다. 작업 중 귀마개 착용 바랍니다.</t>
  </si>
  <si>
    <t>청력 검사 결과, 왼쪽 귀의 청력은 정상 소견입니다. 작업 중 귀마개 착용 바랍니다.</t>
  </si>
  <si>
    <t>혈중 호모시스테인 수치 정상입니다. 혈중 호모시스테인 수치가 상승할 경우 동맥경화, 심뇌혈관 질환 및 치매의 발생 위험이 증가합니다. 비타민 B1,B12,엽산을 충분히 섭취함으로써 호모시스테인 상승을 예방할 수 있습니다.</t>
  </si>
  <si>
    <t>수두(Varicella zoster)에 대한 항체가 양성입니다. 일반적으로 면역력이 있음을 뜻하지만, 수두감염과 관련된 증상이 있을 경우에는 진료가 필요하며, 향후 대상포진이 발병하는 것에 대한 면역력을 뜻하지는 않습니다.</t>
  </si>
  <si>
    <t>흉부방사선검사 척추증 소견: 허리통증, 하지저림 등의 증상이 있는 경우, 정형외과 또는 재활의학과 진료 바랍니다.</t>
  </si>
  <si>
    <t>당화혈색소 검사(HbA1c) 결과, 정상 소견 보입니다. 당화혈색소는 최근 3개월 이내의 평균적인 혈당 수치를 반영하며, 당뇨병 진단에 도움이 되는 검사입니다.</t>
  </si>
  <si>
    <t>적절한 수면관리가 필요합니다.(야간작업 직후 차광, 차음된 방에서 일차 수면을 취하고, 야간근무를 위해 출근하기 전 2-3시간 수면을 취하면 좋습니다.)</t>
  </si>
  <si>
    <t>골밀도 검사 결과는 정상입니다. 칼슘과 비타민D 섭취, 금연과 금주, 규칙적인 운동으로 골다공증을 예방할 수 있습니다.</t>
  </si>
  <si>
    <t>야간근무는 불규칙한 생활 때문에 복부비만, 심혈관 질환(고혈압, 고지혈증, 당뇨 등), 위장관질환, 수면장애 및 유방암의 위험을 증가시킬 수 있습니다. 적절한 수면관리와 생활습관 관리 통하여 건강유지하시기 바랍니다.</t>
  </si>
  <si>
    <t>야간근무는 불규칙한 생활 때문에 복부비만, 심혈관 질환(고혈압, 고지혈증, 당뇨 등), 위장관질환 및 수면장애 위험을 증가시킬 수 있습니다. 적절한 수면관리와 생활습관 관리 통하여 건강유지하시기 바랍니다.</t>
  </si>
  <si>
    <t>과거 흉부 방사선 사진과 비교하여 특이한 변화 없습니다. 정기적 검사 하시고, 기침 가래등 증상 있을시 내과 진료 받으세요.</t>
  </si>
  <si>
    <t>갑상선호르몬 검사 결과, 정상 소견입니다.</t>
  </si>
  <si>
    <t>복부초음파 검사에서는 간, 담낭, 췌장, 비장, 신장을 검사하였습니다. 복부초음파 검사 결과, 정상 소견입니다. 증상이 없다면 정기적인 검사 바랍니다.</t>
  </si>
  <si>
    <t>혈액검사상 빈혈관련 항목에서 일부 정상치를 약간 벗어난 소견이 보입니다. 다른 빈혈검사에서도 이상소견이 발견되었다면 주의하시어 건강관리하시고 , 주기적으로 경과관찰하시기 바랍니다.</t>
  </si>
  <si>
    <t>소변검사에서 혈액성분이 검출됩니다. 소변의 혈액성분은 비뇨기계의 염증이나 결석, 종양 등에 의해 나올 수 있으나, 정상 생리혈의 영향 등 소변채취시의 오류에 의해서도 발생할 수 있습니다. 가까운 시일내에 소변 검사를 다시 받아보시기 바랍니다.</t>
  </si>
  <si>
    <t>소변검사에서 혈액성분이 검출됩니다. 소변의 혈액성분은 비뇨기계의 염증이나 결석, 종양 등에 의해 나올 수 있으나, 소변채취시의 오류에 의해서도 발생할 수 있습니다. 가까운 시일내에 소변  검사를 다시 받아보시기 바랍니다.</t>
  </si>
  <si>
    <t>간기능검사에서 혈액내 감마 지티피(r-GTP)가 증가하였습니다. 음주를 많이하는 경우 지나친 음주를 삼가하시고 다시 검사를 받으신 다음, 지속적으로 이상이 있는 경우에는 내원하여 상담받으시기 바랍니다.</t>
  </si>
  <si>
    <t>경미한 혈당 증가 소견이 보입니다. 염려하실 정도는 안되지만 가족력, 비만, 기타 다른 질병과의 관련성 등을 고려하여 건강주의하시기 바랍니다.</t>
  </si>
  <si>
    <t>식이습관 변화, 규칙적인 운동 및 정기적인 당뇨검사가 필요합니다</t>
  </si>
  <si>
    <t>당뇨질환 전단계를 의미하며 정기적인 당뇨검사가 필요합니다. 식이습관 변화, 규칙적인 운동이 필요합니다.</t>
  </si>
  <si>
    <t>추간판 공간 협소 소견이 있으나, 증상이 없고 다른 문제가 없으므로 작업제한은 필요하지 않습니다.</t>
  </si>
  <si>
    <t>혈중지질검사에서 경도의 이상 소견이 있습니다. 이상지질혈증으로 진행할 수 있으므로 생활습관교정(운동, 체중조절, 금연, 절주 등)과 식이조절로 관리하시기 바랍니다.</t>
  </si>
  <si>
    <t>난소암, 자궁내막암의 암지표(CA-125)의 상승 소견입니다. 난소암, 자궁내막암 뿐만 아니라, 자궁내막증, 임신, 월경 등 다양한 경우 증가할 수 있습니다. 정확한 진단을 위해 산부인과 진료 받으시기 바랍니다.</t>
  </si>
  <si>
    <t>위,췌장암지표(CA19-9)의 상승 소견입니다. 일시적으로 상승하였을 수도 있으나, 췌장암, 담도암, 위장관암, 갑상선암, 기타 양성 및 악성질환에서 상승할 수 있습니다. 정확한 진단 및 확인을 위해 소화기내과 진료 받으시기 바랍니다.</t>
  </si>
  <si>
    <t>대장암지표(CEA)의 경미한 상승 보입니다. (정상참고치 비흡연자:0-4.7, 흡연자:0-5.5) 이는 흡연자 혹은 대장의 만성 염증, 용종, 대장암 및 기타 대장질환 등에서 상승할 수 있습니다. 흡연자의 경우 금연, 추적검사 바라며, 복통, 혈변 등 소화기 증상 있을시 내과진료 바랍니다.</t>
  </si>
  <si>
    <t>대장암지표(CEA) 상승 보입니다. 대장의 만성 염증, 용종, 대장암 및 기타 대장질환 확인을 위해 소화기내과 방문하시어 대장내시경 등 검사바랍니다.</t>
  </si>
  <si>
    <t>혈중지질이 상승했습니다. 이상지질혈증으로 진행할 수 있으므로 생활습관교정(운동, 체중조절, 금연, 절주 등)과 식이조절로 관리하시기 바랍니다.</t>
  </si>
  <si>
    <t>혈중지질검사에서 경도의 HDL 콜레스테롤 수치 감소 소견이 있습니다. 이상지질혈증으로 진행할 수 있으므로 생활습관교정(운동, 체중조절, 금연, 절주 등)과 식이조절로 관리하시기 바랍니다.</t>
  </si>
  <si>
    <t>혈중지질검사에서 경도의 총콜레스테롤/ 중성지방/ LDL 콜레스테롤 수치 증가 및 HDL 콜레스테롤 수치 감소 소견이 있습니다. 이상지질혈증으로 진행할 수 있으므로 생활습관교정(운동, 체중조절, 금연, 절주 등)과 식이조절로 관리하시기 바랍니다.</t>
  </si>
  <si>
    <t>혈중지질검사에서 총콜레스테롤, LDL 콜레스테롤 증가 및 HDL 콜레스테롤 감소 소견 확인됩니다. 생활습관교정(운동, 체중조절, 금연, 절주 등)과 식이조절로 관리하시면서 정기적으로 검사를 받으시기 바랍니다.</t>
  </si>
  <si>
    <t>혈중지질검사에서 중성지방, LDL 콜레스테롤 증가 및 HDL 콜레스테롤 감소 소견 확인됩니다. 생활습관교정(운동, 체중조절, 금연, 절주 등)과 식이조절로 관리하시면서 정기적으로 검사를 받으시기 바랍니다.</t>
  </si>
  <si>
    <t>혈중지질검사에서 중성지방 증가 및 HDL 콜레스테롤 감소 소견 확인됩니다. 생활습관교정(운동, 체중조절, 금연, 절주 등)과 식이조절로 관리하시면서 정기적으로 검사를 받으시기 바랍니다.</t>
  </si>
  <si>
    <t>혈중지질검사에서 경도의 HDL 콜레스테롤 수치 감소 소견이 있습니다. HDL 콜레스테롤은 죽상동맥경화증을 억제하는 역할을 하므로 감소할 경우 심뇌혈관 질환의 위험도가 증가합니다.  생활습관교정(운동, 체중조절, 금연, 절주 등)과 식이조절로 관리하시기 바랍니다.</t>
  </si>
  <si>
    <t>HDL 콜레스테롤 감소 소견이 있습니다. HDL 콜레스테롤은 죽상동맥경화증을 억제하는 역할을 하므로 감소할 경우 심뇌혈관 질환의 위험도가 증가합니다.  생활습관교정(운동, 체중조절, 금연, 절주 등) 및 식이조절로 관리하시고 정기적으로 검사 받으시기 바랍니다.</t>
  </si>
  <si>
    <t>혈색소 수치가 경미하게 증가하였습니다. 흡연, 수분 부족 등이 원인이지만 임상적으로 큰 의미 없으므로 추적관찰 바랍니다.</t>
  </si>
  <si>
    <t>혈중지질검사에서 경도의 LDL 콜레스테롤 수치 증가 소견이 있습니다. 이상지질혈증으로 진행할 수 있으므로 생활습관교정(운동, 체중조절, 금연, 절주 등)과 식이조절로 관리하시기 바랍니다.</t>
  </si>
  <si>
    <t>전립선암지표(PSA)의 상승 소견 입니다. 전립선암지표는 전립선암뿐만 아니라 전립선 비대증, 전립선염, 전립선 경색 등에서도 증가할 수 있으며 정확한 진단과 치료를 위해 비뇨기과 진료 바랍니다.</t>
  </si>
  <si>
    <t>혈중지질검사에서 경도의 총콜레스테롤 수치 증가 소견이 있습니다. 이상지질혈증으로 진행할 수 있으므로 생활습관교정(운동, 체중조절, 금연, 절주 등)과 식이조절로 관리하시기 바랍니다.</t>
  </si>
  <si>
    <t>혈중지질검사에서 경도의 중성지방 수치 증가 소견이 있습니다. 이상지질혈증으로 진행할 수 있으므로 생활습관교정(운동, 체중조절, 금연, 절주 등)과 식이조절로 관리하시기 바랍니다.</t>
  </si>
  <si>
    <t>폐에 비활동성 결핵이 보입니다. 과거에 결핵치료를 한 적이 없는 사람은 활동성 폐결핵이 발병할 위험이 높으므로 잠복결핵 추가 검사 및 치료여부, 후속 검사 필요여부를 꼭 의사와 상담하시기 바랍니다.</t>
  </si>
  <si>
    <t>혈압이 정상범위 보다 높게 측정됩니다. 평소 저염식이와 규칙적인 운동을 하시고, 적정체중을 유지 하도록 체중관리와 흡연자는 금연을 하시길 바랍니다.</t>
  </si>
  <si>
    <t>저염식, 운동, 혈압관리를 권고합니다.</t>
  </si>
  <si>
    <t>혈압이 연령에 비해 약간 높습니다. 현재는 문제가 없으나 나중에 고혈압이 발생할 수 있습니다. 평소에 음식을 짜지 않게 먹고, 체중이 증가하지 않도록 하고 추적관찰하세요.</t>
  </si>
  <si>
    <t>과로, 심한 운동 등으로 일시적으로 나타날 수도 있습니다. 비뇨기계 증상 동반시 정밀검사 받으시기 바랍니다.</t>
  </si>
  <si>
    <t>간기능 수치가 약간 높습니다. 비만, 음주, 지방간 등으로 상승할 수 있습니다. 절주 및 체중감량 후 추적검사하시고 그래도 이상이 있으면 내과나 가정의학과의 진료를 받으세요</t>
  </si>
  <si>
    <t>간기능 수치가 약간 높습니다. 비만, 음주, 지방간 등으로 상승할 수 있습니다. 절주 및 체중감량 후 추적검사 하시기 바랍니다.</t>
  </si>
  <si>
    <t>r-GTP가 약간 상승했습니다. r-GTP는 음주, 약물, 지방간 등에 의해 증가할 수 있습니다. 수치가 많이 높지는 않아 특별한 치료는 필요하지 않으나, 평소에 잘 관리하시기 바랍니다.</t>
  </si>
  <si>
    <t>체질량지수가 많이 증가했습니다. 고혈압, 심혈관계질환의 원인이 될 수 있습니다. 식사감량과 규칙적인 운동으로 체중을 줄이세요.</t>
  </si>
  <si>
    <t>저지방식이, 운동, 추적검사</t>
  </si>
  <si>
    <t>체질량지수가 증가되어 있습니다. 비만은 고혈압, 심혈관계질환 등의 원인이 될 수 있습니다. 식이요법과 규칙적인 운동으로 체중을 줄여보세요.</t>
  </si>
  <si>
    <t>경미한 요단백 소견이 확인됩니다. 저염, 저단백 식이조절로 신장기능관리 바랍니다.</t>
  </si>
  <si>
    <t>골밀도 검사 결과, (요추/대퇴골)에서 골밀도감소 소견입니다. (최저 T-score: ) 충분한 칼슘을 섭취하고 과도한 음주를 삼가며 유산소 운동과 스트레칭으로 관리 필요합니다.</t>
  </si>
  <si>
    <t>주위 환경을 청결히 하고 증상을 악화시키는 물질 (세제, 모직물, 동물털등)에의 노출을 최소한으로 줄여주세요. 증상시 진료요함.</t>
  </si>
  <si>
    <t>주위 환경을 청결히 하고 실내 온도와 습도를 적절하게 유지하세요. 침구류, 소파, 카펫, 커튼 등을 자주 청소하거나 치우세요. 증상이 심할 때는 이비인후과 진료를 받으시기 바랍니다.</t>
  </si>
  <si>
    <t>가습기, 빨래 등으로 주위의 습도를 적절히 유지하고 젖은 수건을 이용한 호흡 등이 증상 완화에 도움이 됩니다. 증상이 심할 때는 이비인후과 진료를 받으시기 바랍니다.</t>
  </si>
  <si>
    <t>철분, 단백질이 풍부한 식사 잘하세요</t>
  </si>
  <si>
    <t>주위를 청결히 하시고 카페트나 화분, 동물 털 등을 멀리하세요. 응급시에 대비하여 휴대용 기관지 확장제를 준비하는 것도 도움이 됩니다. 증상시 진료요함.</t>
  </si>
  <si>
    <t>스트레스를 줄이고 찬 음식, 커피나 차, 기름기가 많은 음식, 우유 등의 섭취를 제한하세요.</t>
  </si>
  <si>
    <t>영양가가 높은 음식과 물을 많이 드시고 간접흡연, 대기오염, 먼지등을 피하세요. 증상시 진료요함.</t>
  </si>
  <si>
    <t>혈중 요소 질소가 정상범위를 벗어나 감소되어 있습니다. 임상적으로는 큰의미는 없으나, 1개월내 내원하시어 재검사 및 상담받으시기 바랍니다.</t>
  </si>
  <si>
    <t>혈액검사결과 평균적혈구용적이 증가하였습니다. 이는 탈수, 심폐질환, 심한 흡연자, 혈액학적 질환에서 나타날 수 있습니다. 일시적인 현상일 수 있으나 내원하셔서 상담 받으시기 바랍니다.</t>
  </si>
  <si>
    <t>혈구용적치 수치가 경미하게 증가하였습니다. 흡연, 수분 부족 등이 원인이지만 임상적으로 큰 의미 없습니다.</t>
  </si>
  <si>
    <t>혈중 총콜레스테롤이 증가되어 있습니다. 동물성지방 특히 콜레스테롤이 많이 함유된 음식(튀긴음식, 새우, 오징어, 장어 등)을 피하는 것이 좋겠습니다. 고지혈증 여부를 확인하기 위해 엄격한 공복후에 재검을 받아보시기 바랍니다.</t>
  </si>
  <si>
    <t>혈중 총콜레스테롤이 낮은 편입니다. 이 자체로 큰 문제는 아니지만, 영양섭취를 균형있고 고르게 하는 것이 좋겠습니다.</t>
  </si>
  <si>
    <t>간기능 검사상 혈액내의 간효소가 증가되었습니다. 간효소가 증가하는 것은 체중증가나 음주가 중요한 원인입니다. 과음, 과식을 삼가고 1개월 후 재검사를 권합니다.</t>
  </si>
  <si>
    <t>혈액 검사 결과 공복시 혈당수치가 감소해 있습니다. 과로, 공복 등에 의해 일시적으로 유발될 수 있으나 췌장염 등의 췌장 질환에 의한 소견일 가능성도 있습니다. 정기검진을 받으시어 혈당 수치를 추적관찰하시기 바랍니다.</t>
  </si>
  <si>
    <t>혈액 검사 상 동맥경화, 심근경색 등 심장질환의 위험요인인 중성지방 수치가 경미하게 높습니다. 절주 및 저지방식이, 주기적 운동하시며 관리하세요.</t>
  </si>
  <si>
    <t>HDL콜레스테롤은 신체기능에 도움을주는 좋은 콜레스테롤입니다. 견과류(호두, 잣 등), 등푸른 생선, 올리브유 등이 풍부한 식사를 하시고, 규칙적으로 운동하시는 것이 필요합니다.</t>
  </si>
  <si>
    <t>당화혈색소 검사(HbA1c) 결과, 당뇨병의 진단 기준이 되는 수치보다는 낮으나, 일반인에 비해 다소 상승한 소견 보입니다. 당화혈색소는 최근 3개월 이내의 평균적인 혈당 수치를 반영합니다. 운동, 식이 조절을 통한 관리 및 추적관찰 바랍니다.</t>
  </si>
  <si>
    <t>골밀도가 감소해 있어 골감소증에 해당합니다. 관리를 받지 않으면 골다공증으로 이어질 수 있습니다. 칼슘섭취와 걷기 운동을 꾸준히 하시고, 내과 또는 가정의학과 상담을 받아보세요.</t>
  </si>
  <si>
    <t>소변검사에서 적혈구 성분이 검출되었습니다. 일시적인 현상이나 검체 오염일 가능성이 있으나 단백뇨 등 다른 이상을 동반할 경우 신장질환 등의 가능성이 높아 신장내과 진료 바랍니다. 다른 증상, 소견이 없다면 치료가 필요하지 않지만 3개월 후 추적검사 바랍니다.</t>
  </si>
  <si>
    <t>소변에서 혈액성분이 검출됩니다. 생리의 영향으로 정상적으로 소변 중 혈액이 검출될 수 있습니다. 배뇨시 불편감, 통증 등 소변 관련 증상이 있다면 비뇨기과 혹은 산부인과 진료를 받아보시기 바랍니다.</t>
  </si>
  <si>
    <t>헬리코박터균은 위염 또는 위궤양의 원인이 되는 병원체이며, 이 검사의 양성은 과거 또는 현재의 감염을 의미합니다. 상복부통증, 속쓰림 등의 증상이 있다면 내원치료 받으시기 바랍니다.</t>
  </si>
  <si>
    <t>헬리코박터 항체검사 양성입니다. 헬리코박터균은 위염 또는 위궤양의 원인이 되는 병원체이며, 이 검사의 양성은 과거 또는 현재의 감염을 의미합니다. 상복부통증, 속쓰림 등의 증상이 있다면 내원치료 받으시기 바랍니다.</t>
  </si>
  <si>
    <t>단백뇨 양성입니다. 탈수, 운동, 스트레스 등의 원인으로 나타날 수 있으므로, 건강 관리 후 추적검사하시기 바랍니다.</t>
  </si>
  <si>
    <t>단백뇨 양성입니다. 탈수, 운동, 스트레스 등의 원인 혹은 신장 질환으로 인해 나타날 수 있으므로 신장내과 진료 바랍니다.</t>
  </si>
  <si>
    <t>고혈압이 의심됩니다. 저염식 및 운동 하시고, 내원 상담하시기 바랍니다.</t>
  </si>
  <si>
    <t>귀질환(중이염 등)으로 진단받은 병력이 없거나, 청력저하로 생활이 불편하면 이비인후과 진료를 받으세요.</t>
  </si>
  <si>
    <t>간기능 수치가 약간 높습니다. 비만, 음주, 지방간 등으로 상승할 수 있습니다. 절주 및 체중감량 후 추적검사하시고 그래도 이상이 있으면 내과나 가정의학과의 진료를 받으세요.</t>
  </si>
  <si>
    <t>고혈압의 위험성이 있습니다. 음식을 싱겁게 드시고(저염식), 체중이 증가하지 않도록 하고, 규칙적인 운동으로 혈압이 증가하지 않도록 하고 주기적으로 혈압을 체크해 보세요.</t>
  </si>
  <si>
    <t>감마지티피(r-GTP) 수치가 높습니다. r-GTP는 음주, 비만, 지방간 등에 의해 증가할 수 있습니다. 절주 및 체중감량 후 추적검사 받으세요. 그래도 이상이 있으면 내과나 가정의학과의 진료를 받으세요</t>
  </si>
  <si>
    <t>신장기능 저하(크레아티닌 상승, 신사구체여과율 감소)가 있습니다. 고혈압 및 당뇨의 합병증으로 신장 손상이 생길 수 있습니다. 평소 진료받으시는 내과 통해 고혈압 및 당뇨를 철저히 관리하시고, 정기적으로 신장 기능 저하 평가 및 관리받으시기 바랍니다.</t>
  </si>
  <si>
    <t>혈중 중성지방산이 높습니다. 중성지방산이 증가하지 않도록 술, 탄수화물과 지방질이 많은 음식을 피하십시요.</t>
  </si>
  <si>
    <t>감마지티피(r-GTP) 수치가 높습니다. r-GTP는 음주, 약물, 지방간 등에 의해 증가할 수 있습니다. 해당 사항을 개선하시고 추적검사 받으세요. 그래도 이상이 있으면 내과나 가정의학과의 진료를 받으세요</t>
  </si>
  <si>
    <t>정기적 흉부 촬영 통해 추적 관찰하시고, 호흡기계 특이 증상시 내과 진료 받으시기 바랍니다.</t>
  </si>
  <si>
    <t>흡연 중이라면 금연하시고, 호흡곤란이나 기침 등의 증상이 있으면 호흡기 내과 진료를 받으시기 바랍니다.</t>
  </si>
  <si>
    <t>흡연 중이라면 금연하시고, 호흡곤란이나 기침 등의 증상이 있으면 내과 진료를 받으시기 바랍니다.</t>
  </si>
  <si>
    <t>적녹색각 이상이 있습니다. 일반적으로 치료는 필요하지 않으나, 색각 이상으로 생활이 불편하면 안과 진료를 받으세요.</t>
  </si>
  <si>
    <t>적색각 이상이 있습니다. 일반적으로 치료는 필요하지 않으나, 색각 이상으로 생활이 불편하면 안과 진료를 받으세요.</t>
  </si>
  <si>
    <t>녹색각 이상이 있습니다. 일반적으로 치료는 필요하지 않으나, 색각 이상으로 생활이 불편하면 안과 진료를 받으세요.</t>
  </si>
  <si>
    <t>흉부 촬영상 좌측 흉막이 유착된 소견 관찰됩니다. 이는 염증의 흔적으로 보입니다. 정기적 흉부 촬영 통해 추적관찰하시고, 호흡기계 특이 증상시 내과 진료받으시기 바랍니다.</t>
  </si>
  <si>
    <t>동맥경화와 관련이 있는 혈중 저밀도 콜레스테롤치가 상승되어 있습니다. 콜레스테롤 함량이 높은 음식(튀긴 음식, 새우, 오징어, 장어 등)의 섭취를 줄이고, 규칙적인 운동이 필요합니다.</t>
  </si>
  <si>
    <t>동맥경화와 관련이 있는 혈중 저밀도 콜레스테롤치가 상승되어 있습니다. 기름진 음식을 줄이시고, 규칙적인 운동이 필요합니다. 고혈압이나 당뇨로 치료 중인 경우에는 더욱 철저한 관리가 필요합니다.</t>
  </si>
  <si>
    <t>동맥경화, 심근경색 등의 심장질환의 위험요인인 중성지방 수치가 높습니다. 저지방식이, 주기적 운동이 필요하며 금식 후 재검사 하시기 바랍니다.</t>
  </si>
  <si>
    <t>HDL콜레스테롤이 낮습니다. 이 경우 관상동맥질환의 발생위험이 높아집니다. 규칙적인 운동, 식이조절이 필요합니다.</t>
  </si>
  <si>
    <t>동맥경화의 주요 원인인 저밀도 콜레스테롤 수치가 정상범위 이상입니다. 운동, 저지방식이 하시고 정기적 추적검사 받으세요</t>
  </si>
  <si>
    <t>골밀도가 많이 감소해 있어 골다공증이 의심됩니다. 골다공증 치료를 받지 않으면 가벼운 외상에도 골절상을 입기 쉽습니다. 가까운 의료기관(보건소, 병.의원 등)을 방문해 골다공증에 대한 진단 및 관리 받으세요.</t>
  </si>
  <si>
    <t>소변검사에서 소량의 단백질이 검출되었습니다. 다른 증상, 소견이 없다면 특별한 치료가 필요하지 않지만 3개월 후 내과 내원하여 추적검사 바랍니다.</t>
  </si>
  <si>
    <t>염증(흉막염 등)흔적으로 보입니다. 정기적으로 확인하시고, 호흡기 계통의 증상이 있으면 내과 진료를 받으시기 바랍니다.</t>
  </si>
  <si>
    <t>과거 염증 후에 남은 흔적으로 판단되지만, 정기적으로 확인이 필요합니다. 호흡기 증상(기침이나 객혈 등)이 있으면 호흡기 내과 진료를 받으시기 바랍니다.</t>
  </si>
  <si>
    <t>기관지 확장증이 의심됩니다. 숨참, 기침, 가래 등 동반 증상 있을 시 내과 진료 바라며 특별한 증상 없는 경우 3개월 후 추적검사 바랍니다.</t>
  </si>
  <si>
    <t>배뇨장애는 정상적인 노화의 과정이 아니라 치료가 가능한 질환이며, 남성은 전립선 비대증, 여성은 요실금이 배뇨장애의 가장 흔한 원인입니다. 비뇨기과 진료를 통해 배뇨장애에 대한 관리를 받으시기 바랍니다.</t>
  </si>
  <si>
    <t>톨루엔에 대한 생물학적 노출지표(o-크레졸) 검사 결과 노출 기준을 초과하여, 과폭로가 의심됩니다. 철저한 보호구 착용 및 추적관찰 바랍니다.</t>
  </si>
  <si>
    <t>트리클로로에틸렌에 대한 생물학적 노출지표(삼염화초산) 검사 결과 노출 기준을 초과하여, 과폭로가 의심됩니다. 업무시 보호구 착용을 철저히 하시기 바라며, 3개월이내 추적관찰 하시기 바랍니다.</t>
  </si>
  <si>
    <t>퍼클로로에틸렌에 대한 생물학적 노출지표(삼염화초산) 검사 결과 노출 기준을 초과하여, 과폭로가 의심됩니다. 업무시 보호구 착용을 철저히 하시기 바라며, 3개월이내 추적관찰 하시기 바랍니다.</t>
  </si>
  <si>
    <t>2,5-헥산디온과폭로주의(3개월이내추적검사)</t>
  </si>
  <si>
    <t>n-헥산에 대한 생물학적 노출지표(2,5-헥산디온) 검사 결과 노출 기준을 초과하여, 과폭로가 의심됩니다. 업무시 보호구 착용을 철저히 하시기 바라며, 3개월이내 추적관찰 하시기 바랍니다.</t>
  </si>
  <si>
    <t>수은에 대한 생물학적 노출지표 검사 결과 노출 기준을 초과하여, 과폭로가 의심됩니다. 업무시 보호구 착용을 철저히 하시기 바라며, 3개월이내 추적관찰 하시기 바랍니다.</t>
  </si>
  <si>
    <t>일산화탄소에 대한 생물학적 노출지표 검사 결과 노출 기준을 초과하여, 과폭로가 의심됩니다. 업무시 보호구 착용을 철저히 하시기 바라며, 3개월이내 추적관찰 하시기 바랍니다.</t>
  </si>
  <si>
    <t>일산화탄소 과폭로상태입니다. 보호구 철저히 착용하시고, 금연하십시오. 두통, 가슴통증 등이 나타나면 상세한 진료가 필요합니다.</t>
  </si>
  <si>
    <t>일산화탄소 과폭로상태입니다. 작업시 보호구 철저히 착용하시고, 두통, 가슴통증 등이 나타나면 상세한 진료가 필요합니다.</t>
  </si>
  <si>
    <t>원인물질을 가급적 피하고, 보호구(장갑 및 의복 등)를 잘 착용하세요. 피부염 증상이 심해지면 피부과 진료를 받으시기 바랍니다.</t>
  </si>
  <si>
    <t>치과검사상 법랑질표면부식 상태입니다. 취급하는 물질(산)과 관련이 있습니다. 보호구 착용을 잘 하시고, 치과정기검진 및 치아위생에 주의하십시오.</t>
  </si>
  <si>
    <t>치과검사상 법랑질파괴부식 상태입니다. 취급하는 물질(산)과 관련이 있습니다. 보호구 착용을 잘 하시고, 치과정기검진 및 치아위생에 주의하십시오.</t>
  </si>
  <si>
    <t>치과검사상 상아질파괴부식 상태입니다. 취급하는 물질(산)과 관련이 있습니다. 보호구 착용을 잘 하시고, 치과정기검진 및 치아위생에 주의하십시오.</t>
  </si>
  <si>
    <t>치과검사상 2차상아질파괴부식 상태입니다. 취급하는 물질(산)과 관련이 있습니다. 보호구 착용을 잘 하시고, 치과정기검진 및 치아위생에 주의하십시오.</t>
  </si>
  <si>
    <t>치과검사상 치주노출부식 상태입니다. 취급하는 물질(산)과 관련이 있습니다. 보호구 착용을 잘 하시고, 치과정기검진 및 치아위생에 주의하십시오.</t>
  </si>
  <si>
    <t>신장기능 손상 의심 소견은 없습니다. 요석, 비뇨기계 암 등의 비뇨기계 질환이 있을 시 요잠혈이 발생할 수 있으니 비뇨기과 진료 통하여 관리받으시고, 또한 작업관련 유해물질에 의한 신장 손상의 초기증상일 수 있으니 작업시 보호구 착용 철저히 하시기 바랍니다.</t>
  </si>
  <si>
    <t>1,2-디클로로프로판 과폭로주의(3개월이내추적검사)</t>
  </si>
  <si>
    <t>1,2-디클로로프로판에 대한 생물학적 노출지표 검사 결과 노출 기준을 초과하여, 과폭로가 의심됩니다. 업무시 보호구 착용을 철저히 하시기 바라며 3개월이내 추적관찰 하시기 바랍니다.</t>
  </si>
  <si>
    <t>인듐에 대한 생물학적 노출지표 검사 결과 노출 기준을 초과하여, 과폭로가 의심됩니다. 업무시 보호구 착용을 철저히 하시기 바라며 3개월이내 추적관찰 하시기 바랍니다.</t>
  </si>
  <si>
    <t>레이노 증후군이 의심됩니다. 레이노 증후군은 진동, 추위 등으로 인해 손가락이나 발가락의 혈관이 수축해서 혈액순환장애가 생기는 질환입니다. 진동, 추위 등을 피하시고 (류마티스)내과에서 상담하시기 바랍니다.</t>
  </si>
  <si>
    <t>소음성난청의 초기 소견이 보입니다. 현재는 청력에 지장이 없으나 소음에 장기간 노출되면 난청이 나타날 수 있습니다. 가급적이면 작업장의 소음을 줄여야 하고, 소음부서에서 작업을 하는 경우에는 보호구를 철저히 착용하세요.</t>
  </si>
  <si>
    <t>보호구(귀마개 및 귀덮개)를 철저히 착용하시고, 정기적으로 청력검사를 받으세요.</t>
  </si>
  <si>
    <t>소음작업시 보호구 착용을 잘 하시고, 정기적으로 청력검사를 받으세요.</t>
  </si>
  <si>
    <t>검사상 특이소견 없지만, 호흡기 증상이 지속될 경우 원인 확인 필요. 보호구 착용.</t>
  </si>
  <si>
    <t>일반 작업은 괜찮으나 중량물,고강도 작업은 주의하세요.</t>
  </si>
  <si>
    <t>카르복시혈색소 상승소견 보입니다. 호흡곤란, 흉통, 심한두통 등의 증상 있을시 직업환경의학과 내원하십시요.</t>
  </si>
  <si>
    <t>2차 생물학적 노출지표 검사상 정상입니다. 한시적으로 과노출,폭로되었을 수 있습니다. 작업시 보호구 착용 꼭 하세요.</t>
  </si>
  <si>
    <t>보호구 철저히 착용하시면서 근무하시고, 추적검사 받으세요.</t>
  </si>
  <si>
    <t>N,N-디메틸아세트아미드 과폭로 주의</t>
  </si>
  <si>
    <t>N,N-디메틸아세트아미드에 과폭로된 상태이므로 보호구착용 철저히 하시고 1개월 내 추적검사 받으세요.</t>
  </si>
  <si>
    <t>2차검사상 정상이지만 N,N-디메틸아세트아미드에 과다노출이 의심되는 소견입니다. 작업시 보호구착용을 철저히 하시고 2개월 내 추적검사 받으세요.</t>
  </si>
  <si>
    <t>후각기능 증상 지속, 보호구(마스크) 착용 철저, 증상에 대한 추적검사</t>
  </si>
  <si>
    <t>방진마스크 착용 및 금연 하시고, 추적검사 하시기 바랍니다.</t>
  </si>
  <si>
    <t>경미한 변형적혈구가 관찰 됩니다. 금연, 절주 하시고 추적관찰이 필요합니다.</t>
  </si>
  <si>
    <t>금연하시고 보호구를 잘 착용하시고 정기적으로 확인하세요. 호흡곤란(숨참), 기침 등 호흡기 증상이 있으면 내과와 직업환경의학과 진료를 받으시기 바랍니다.</t>
  </si>
  <si>
    <t>보호구를 잘 착용하고, 흡연자는 금연하십시오. 호흡곤란(숨참), 기침 등 호흡기 증상이 있으면 내과와 직업환경의학과 진료를 받으시기 바랍니다.</t>
  </si>
  <si>
    <t>보호구 착용, 금연 및 호흡기 증상있을시 진료받으세요</t>
  </si>
  <si>
    <t>호산구 수가 증가되어 있으므로 작업시 마스크등 보호구착용을 철저히하시고 피부발적, 호흡곤란등 관련증상 있을시 내과진료를 요합니다.</t>
  </si>
  <si>
    <t>소음성난청의 초기 소견이 보입니다. 소음에 장기간 노출되면 난청이 나타날 수 있으므로 가급적 작업장 소음을 줄이고, 소음부서 작업 시 보호구를 철저히 착용 바랍니다.</t>
  </si>
  <si>
    <t>중이, 고막 질환 등에 의하여 전음성 난청이 발생할 수 있습니다. 정확한 진단을 위해 이비인후과 진료 바랍니다.</t>
  </si>
  <si>
    <t>노화로 인한 청력감소가 진행 중이며, 소음과 귀 질환으로 인해 악화 가능성 있습니다. 작업중 귀마개 착용 바라며 청력에 불편을 느낄 경우 이비인후과 진료 바랍니다.</t>
  </si>
  <si>
    <t>소음에 지속적으로 노출되면 소견이 악화될 수 있으므로 작업중 귀마개 착용 바라며 난청, 이명 등 증상 있을 경우 이비인후과 진료 바랍니다.</t>
  </si>
  <si>
    <t>직업적 요인이나 개인질환으로 인해 발생 가능. 작업장 환기 및 개인보호구 착용 철저히 하고, 증상 지속시 정확한 진단과 원인파악을 위한 검사가 필요</t>
  </si>
  <si>
    <t>양측 귀에 소음성 난청의 초기 소견이 관찰됩니다. 소음이 발생하는 부서에서 근무는 가능하나 청력보존프로그램을 시행해야 하고, 보호구를 철저히 착용하여야 합니다.</t>
  </si>
  <si>
    <t>좌측 귀에 소음성 난청의 초기 소견이 관찰됩니다. 소음이 발생하는 부서에서 근무는 가능하나 청력보존프로그램을 시행해야 하고, 보호구를 철저히 착용하여야 합니다.</t>
  </si>
  <si>
    <t>우측 귀에 소음성 난청의 초기 소견이 관찰됩니다. 소음이 발생하는 부서에서 근무는 가능하나 청력보존프로그램을 시행해야 하고, 보호구를 철저히 착용하여야 합니다.</t>
  </si>
  <si>
    <t>치과검사상 법랑질파괴 상태입니다. 취급하는 물질(산)과 관련이 있습니다. 보호구 착용을 잘 하시고, 치과정기검진 및 치아위생에 주의하십시오.</t>
  </si>
  <si>
    <t>치과검사상 상아질파괴 상태입니다. 취급하는 물질(산)과 관련이 있습니다. 보호구 착용을 잘 하시고, 치과정기검진 및 치아위생에 주의하십시오.</t>
  </si>
  <si>
    <t>치과검사상 교두완전파괴 상태입니다. 취급하는 물질(산)과 관련이 있습니다. 보호구 착용을 잘 하시고, 치과정기검진 및 치아위생에 주의하십시오.</t>
  </si>
  <si>
    <t>치과검사상 치관치근경계부까지 피괴된 상태입니다. 취급하는 물질(산)과 관련이 있습니다. 보호구 착용을 잘 하시고, 치과정기검진 및 치아위생에 주의하십시오.</t>
  </si>
  <si>
    <t>간수치가 다소 상승하였습니다. 근무중 유해인자 노출로 악화될 수 있으므로 금주,운동,식이조절로 관리 필요합니다. 복통,피로 등 증상 있으면 내과 진료 필요하며 이외 추적관찰 바랍니다.</t>
  </si>
  <si>
    <t>▶대장내시경 검사에서 치핵(치질)이 있습니다. 변비, 배변시 과도한 힘주기, 변기에 오래 앉아있는 습관 등이 원인으로 알려져 있습니다. 변비 예방을 위해 생활습관을 관리하시기 바랍니다. 돌출, 출혈 등, 치료여부에 대해서는 일반외과 진료 받으시면 되겠습니다.</t>
  </si>
  <si>
    <t>▶대장내시경 검사에서 대장 정결(대장비움)이 완전히 이루어지지 않아 검사에 제한점이 있습니다. 불충분한 장정결로 인한 제한된 검사임을 고려하여 1~2년 이내의 추적검사 바랍니다. 복통, 만성 설사, 혈변 등의 이상증상이 있다면 내시경 재검사를 권유드립니다.</t>
  </si>
  <si>
    <t>▶대장내시경 검사에서 지방종이 관찰됩니다. 이는 점막의 일부가 국소적으로 기름이 낀듯이 노란 덩어리처럼 보이는 것으로서, 양성병변으로 특별한 치료는 필요없습니다.</t>
  </si>
  <si>
    <t>▶대장내시경 검사에서 대장 게실이 관찰됩니다. 이는 약해진 장벽이 늘어나 꽈리 같은 주머니를 형성하는 것으로, 연령의 증가나 변비 등으로 인해 생깁니다. 혈변, 복통 등의 증상이 없으면 경과 관찰하시고 섬유질  및 수분 섭취를 늘리시길 권유드립니다.</t>
  </si>
  <si>
    <t>▶대장내시경 검사에서 치열 관찰됩니다. 단단하거나 굵은 변으로 인해 항문점막에 열상이 생긴 것을 말하며 변비가 생기지 않도록 식이습관을 조절하시고, 만일 배변시 혹은 배변 직후 통증, 선홍색 출혈 등 증상이 있는 경우에는 외과 진료 받으시기 권유드립니다.</t>
  </si>
  <si>
    <t>▶대장내시경 검사에서 직장염(대장말단부위) 소견을 보입니다. 혈변, 복통 등의 증상이 있다면 소화기내과 진료 받으시기 바랍니다.</t>
  </si>
  <si>
    <t>▶대장내시경 검사에서 비특이적 대장염이 관찰됩니다. 변비, 설사, 복통, 복부불편감, 혈변 등 이상증상이 있으면 소화기내과 진료 받으시기 받으시기 바랍니다.</t>
  </si>
  <si>
    <t>피부염 증상 악화에 주의하시고, 증상 지속시 원인에 대한 추가 진료가 필요할 수 있습니다.</t>
  </si>
  <si>
    <t>심장박동이 다소 느린 것으로 정상적인 경우에도 나타날 수 있는 소견입니다. 어지러움, 호흡곤란 등의 증상이 있으면 심장내과 진료 바랍니다.</t>
  </si>
  <si>
    <t>심장박동이 빠른 것으로 특별한 이상이 없는 경우가 많지만, 심계 항진(심장 뛰는 것이 인식되어 불쾌한 기분)이 있다면 심장내과 진료 바랍니다.</t>
  </si>
  <si>
    <t>정상적인 경우에도 나타날 수 있는 소견이지만, 운동 시 가슴통증, 호흡곤란 등의 증상이 있다면 심장내과 진료 바랍니다.</t>
  </si>
  <si>
    <t>심장박동이 동결절 이외에서 나타나는 것으로 일시적인 가능성이 큽니다. 두근거림, 호흡곤란, 심계항진(심장 뛰는 것을 인식), 어지러움, 두통 증상이 있다면 심장내과 진료 바랍니다.</t>
  </si>
  <si>
    <t>심장 전기 신호가 느리게 전달되는 것으로, 정상적인 경우에도 나타날 수 있습니다. 실신, 어지러움 등의 증상이 없다면 추적관찰 바랍니다.</t>
  </si>
  <si>
    <t>우측심장 전기신호가 차단된 것으로 증상이 없다면 치료가 필요 없지만, 두근거림이 자주 느껴지거나 흉통, 두통 등 증상 있으면 심장내과 진료 바랍니다.</t>
  </si>
  <si>
    <t>정상적인 경우에도 나타날 수 있는 소견입니다. 운동 시 가슴통증, 호흡곤란 등 증상 없다면 추적관찰 바랍니다.</t>
  </si>
  <si>
    <t>단독 소견으로는 의미가 없지만 고칼륨혈증이나 심근경색의 초기에 보일 수 있습니다. 흉부 불편감, 호흡곤란 등의 중상이 있으면 심장내과 진료 바랍니다.</t>
  </si>
  <si>
    <t>심장질환을 앓고 있거나, 흉통, 심계항진 등의 증상이 없으면 치료가 필요 없는 경우가 많습니다. 증상이 있는 경우 심장내과 진료 바랍니다.</t>
  </si>
  <si>
    <t>증상이 없다면 정상적인 경우에도 나타날 수 있는 소견입니다. 두근거림이 자주 느껴지거나 흉통, 두통 등 증상 있으면 심장내과 진료 바랍니다.</t>
  </si>
  <si>
    <t>젊은 성인에서 정상적으로 나타날 수 있지만, 드물게 심장질환에서 나타날 수 있습니다. 흉통, 호흡곤란 등의 증상이 있는 경우 심장내과 진료 바랍니다.</t>
  </si>
  <si>
    <t>숨참, 흉통 등 증상 없으면 특별한 치료가 필요하진 않으나 심장 기능 저하에 의한 가능성 있으므로 추적검사 바랍니다.</t>
  </si>
  <si>
    <t>심방이 수축하는 것으로 건강한 사람에서도 나타나며, 운동 시 흉통 등이 없으면 정밀 검사나 특별한 치료를 필요로 하지 않습니다.</t>
  </si>
  <si>
    <t>심실이 수축하는 것으로 대부분 정상이지만, 심장 질환의 위험인자일 수 있습니다. 두근거림, 흉통 등의 증상이 있으면 심장내과 진료 바랍니다.</t>
  </si>
  <si>
    <t>좌측심장 전기신호가 차단된 것으로 건강한 사람에서는 큰 문제가 되지 않지만, 기질적인 심장질환과 연관되어 나타날 수 있으므로 심장내과 진료 바랍니다.</t>
  </si>
  <si>
    <t>심장질환을 앓고있거나, 흉통, 심계항진 등의 증상이 없으면 치료가 필요 없는 경우가 많습니다. 증상이 있는 경우 심장내과 진료 바랍니다.</t>
  </si>
  <si>
    <t>좌축 편위는 좌심실비대 등과 관련이 있습니다. 흉통, 심계항진, 호흡곤란 등의 증상이 있는 경우에는 심장내과 진료 바랍니다.</t>
  </si>
  <si>
    <t>심장 전기 전도 방향이 정상 범위에서 약간 벗어나 있는 것으로 정상에서도 나타날 수 있으나, 두근거림, 호흡곤란, 가슴 통증, 어지러움, 두통 등의 증상이 있다면 심장내과 진료 바랍니다.</t>
  </si>
  <si>
    <t>보건, 위생직 제외한 모든 직종 근무 가능 합니다. 정기적 간기능검사를 받으세요.</t>
  </si>
  <si>
    <t>보건, 위생직 제외한 모든 직종 근무 가능함. 정기적 간기능검사 필요</t>
  </si>
  <si>
    <t>일시적 단백뇨일 수 있으나, 추적검사 요합니다.</t>
  </si>
  <si>
    <t>과로, 심한 운동 등으로 일시적으로 나타날 수도 있습니다. 비뇨기계 증상 동반시 정밀검사 필요하며 주기적인 추적검사 요합니다.</t>
  </si>
  <si>
    <t>치주출혈, 보호구 착용, 치과정기검진 및 치아위생 주의</t>
  </si>
  <si>
    <t>보호구 착용, 치과 진료</t>
  </si>
  <si>
    <t>치과검사상 심치주낭형성 상태입니다. 보호구 착용을 잘 하시고, 치과 진료를 받으시기 바랍니다.</t>
  </si>
  <si>
    <t>저염식이 및 규칙적인 운동 필요하며, 진료를 권합니다.</t>
  </si>
  <si>
    <t>저선량 흉부 CT 검사 결과 기관지확장증 소견 확인됩니다. 기관지확장증은 감염 등 여러가지 이유로 기관지 벽이 손상을 받아 기관지가 늘어난 상태를 말합니다. 관련 증상(기침, 가래, 객혈, 호흡곤란, 홍통 등)이 있을 경우 호흡기내과 진료를 받으시기 바랍니다.</t>
  </si>
  <si>
    <t>저선량 흉부 CT 검사 결과 석회화 결절 소견이 관찰됩니다. 이 병변은 과거 결핵, 폐의 감염성 질환 등이 지나간 흔적일 가능성이 높고, 암과의 관련성은 낮은 양성 소견 가능성이 높습니다. 경과관찰을 위하여 주기적으로 검사 받으시기 바랍니다.</t>
  </si>
  <si>
    <t>저선량 흉부 CT 검사 결과 무기폐 소견이 확인됩니다. 무기폐는 폐의 일부가 모두 팽창되지 못한 상태를 말하며, 여러가지 원인(염증성 질환, 이물질, 종양 등)에 의해서 발생할 수 있습니다. 원인감별을 위해서 호흡기내과 진료를 받으시기 바랍니다.</t>
  </si>
  <si>
    <t>저선량 흉부 CT 검사 결과 횡경막 내장 탈출 소견이 확인됩니다. 복부 내의 장기가 비정상적으로 위로 돌출된 것을 말하며 선천적인 경우나, 연령이 증가하면서 횡경막의 조직 약화, 조절 신경 마비 등, 발생하는 경우도 있습니다. 흉부외과 진료를 받으시기 바랍니다.</t>
  </si>
  <si>
    <t>저선량 흉부 CT 검사 결과 국소 섬유화 소견이 확인됩니다. 이 병변은 과거 폐의 염증 등이 지나간 흔적일 가능성이 높습니다. 관련 증상(기침, 가래, 객혈, 호흡곤란 등)이 있을 경우 호흡기내과 진료를 받으시기 바랍니다.</t>
  </si>
  <si>
    <t>저선량 흉부 CT 검사 결과 폐기종 소견 확인됩니다. 폐의 가장 작은 단위인 폐포 벽이 손상된 것으로 장기간의 흡연 및 화학물질 대기오염의 원인이 있을 수 있습니다. 반드시 금연 및 기침, 가래, 호흡곤란 등의 증상이 있으면 호흡기내과 진료를 받으시기 바랍니다.</t>
  </si>
  <si>
    <t>저선량 흉부 CT 검사 결과 관상동맥 석회화 소견 확인됩니다. 관상동맥질환 위험군으로 고혈압, 당뇨병, 이상지질혈증, 비만, 흡연 등  생활습관 개선이 필요합니다. 흉통, 호흡곤란 등 심혈관계 질환 관련 증상이 있는 경우 순환기내과 진료를 받으시기 바랍니다.</t>
  </si>
  <si>
    <t>저선량 흉부 CT 검사 결과 폐기포 소견 확인됩니다. 흡연, 폐질환 등의 원인으로 폐조직이 파괴되거나 조직이 변성된 소견을 말합니다. 흡연 중이라면 반드시 금연해야 하며 기침, 가래, 호흡곤란 등의 증상이 있으면 호흡기내과 진료를 받으시기 바랍니다.</t>
  </si>
  <si>
    <t>저선량 흉부 CT 검사 결과 결과 과거 폐결핵 소견이 확인됩니다. 과거에 결핵을 앓고 지나간 흔적을 말하며, 특별한 증상이 없다면 경과 관찰하시고 다음 정기검진시 변화 여부를 확인하시기 바랍니다.</t>
  </si>
  <si>
    <t>분변잠혈반응 검사 결과 양성(대변에서 혈액이 검출됨)입니다. 이러한 경우 단순 항문 출혈의 가능성도 있으나 대장에 병변(염증, 용종, 암 등)이 있을 가능성이 있으므로 대장이중조영 검사 또는 대장내시경 검사를 반드시 받아보시기 바랍니다.</t>
  </si>
  <si>
    <t>▶대장내시경 검사에서 비특이적 회장염이 관찰됩니다. 변비, 설사, 복통, 복부불편감, 혈변 등 이상증상이 있으면 소화기내과 진료 받으시기 받으시기 바랍니다.</t>
  </si>
  <si>
    <t>위내시경 검사에서 역류성 식도염 관찰됩니다. 위산이 식도 쪽으로 역류하여 식도에 염증을 일으키는 질환을 말하며, 눕는 습관, 과식, 흡연 등의 원인으로  음주, 기름진 음식 같은 위해요인을 피하시고 신물역류 등 불편한 증상이 있으면 소화기내과 진료 받으십시오.</t>
  </si>
  <si>
    <t>위내시경 검사에서 식도 점막하종양 관찰됩니다. 점막하종양은 점막 하부에 병변이 들어있는 양상을 말하며, 때문에 조직검사로는 어떤 종류인지 감별이 어려우므로 내시경초음파 등 추가 정밀검사를 위해 소화기내과 진료 권유드립니다.</t>
  </si>
  <si>
    <t>위내시경 검사에서 식도 열공 탈장 관찰됩니다. 횡격막 식도열공 주변의 취약부를 통해 식도위접합부가 흉강 내측으로 탈출한 것을 말하며, 위식도역류질환과 연관되어 있으므로 이에 대한 체중조절 및 규칙적인 식사, 폭음 및 과식에 대한 주의가 필요합니다.</t>
  </si>
  <si>
    <t>위내시경 검사에서 식도에 게실 관찰됩니다. 게실은 점막 일부가 약해지면서 함몰되어 생긴 작은 주머니 모양의 구조를 뜻하는데, 대부분 증상도 없고 특별한 치료를 필요로 하지 않는 경우가 대다수 입니다. 흉골하 불편감이 있다면 소화기내과 진료 받으십시오.</t>
  </si>
  <si>
    <t>위내시경 검사에서 식도에 칸디다식도염 소견 관찰됩니다.  면역 억제제를 사용하거나, 광범위 항생제 및  당뇨병, 음주, 영양결핍, 고령, 면역 저하, 장기 위산 억제제를 사용한 경우 등에서 발생할 수 있습니다. 치료 상담 위해 소화기내과 진료 권유드립니다.</t>
  </si>
  <si>
    <t>위내시경 검사에서 바렛 식도 관찰됩니다. 위식도 역류 등으로 식도가 자극을 받아 식도의 상피세포가 위나 장의 상피세포인 원주세포로 바뀔 수 있는 증상으로 불규칙한 식사, 비만, 술, 흡연, 약물, 과식을 피하고,  정기적인 위내시경 검사를 받으시기 바랍니다.</t>
  </si>
  <si>
    <t>위내시경 검사에서 말로리-바이스 증후군 관찰됩니다. 이는 심한 구역질, 구토 등으로 인해 위식도 접합부에 상처가 난 것으로 대부분 자연 지혈 및 치유 되지만 일부의 경우 추가적인 치료가 필요할 수 있습니다. 치료에 대한 상담 위해 소화기내과 진료 권유드립니다.</t>
  </si>
  <si>
    <t>위내시경 검사에서 위식도 접합부에 보초 용종 관찰됩니다. 이는 위산의 식도 역류로 인해 발생하는 것으로 알려져 있습니다. 식후 눕는 습관, 복부비만, 흡연, 과식, 기름진 음식, 카페인 등을 피하시기 바랍니다. 치료 및 상담 위해 소화기내과 진료 권유드립니다.</t>
  </si>
  <si>
    <t>위내시경 검사에서 위염 관찰됩니다. 흡연, 헬리코박터균 감염, 알코올 섭취, 자극적인 식이, 불규칙한 식사 습관 등을 주의하시고 정기적인 검진 권유드립니다. 불편한 위장관 증상 있다면 소화기내과 진료 받으시기 바랍니다.</t>
  </si>
  <si>
    <t>위내시경 검사에서 위축성 위염이 관찰됩니다. 만성염증으로 인해 위 점막이 변한 것을 말하며 원인은 헬리코박터균, 음주 및 흡연, 약물(진통, 소염제, 아스피린 등), 커피, 담즙 역류 등이 있습니다. 위해요인을 피하시고 정기적인 내시경 추적검사 권유드립니다.</t>
  </si>
  <si>
    <t>위내시경 검사에서 위 궤양 관찰됩니다. 궤양의 경우 악성질환과의 감별이 필요하며 궤양 악화시 출혈, 천공 등 합병증이 발생할 수도 있어 치료가 필요합니다. 음주, 흡연, 자극적인 식이, 스트레스 등 위해요인을 피하시고 소화기내과 진료 받으십시오.</t>
  </si>
  <si>
    <t>위내시경 검사에서 위 점막하종양 관찰됩니다. 점막하종양은 정상 점막 하부에 병변이 들어있는 양상을 말하며, 크기가 작은 경우 대개 양성병변입니다. 크기 및 모양 변화를 확인하기 위해 1년간격의 추적 위내시경 권유드립니다.</t>
  </si>
  <si>
    <t>위내시경 검사에서 위 점막하종양 관찰됩니다. 정상 점막 하부에 병변이 들어있는 양상을 말하며, 작은 경우 대개 양성병변이나 크기가 1cm 이상인 경우 악성질환과의 감별이 필요할 수 있습니다. 추가검사 등 상담 위해 소화기내과 진료 받으시기 바랍니다.</t>
  </si>
  <si>
    <t>위내시경 검사에서 림프여포성 위염(결절성 위염) 관찰됩니다. 이러한 위 점막을 보이는 경우 정상 점막에 비해 위암 발생률이 높은 것으로 알려져 있습니다. 헬리코박터균 감염, 흡연 등을 주의하시고 정기적인 검진 받으시기 바랍니다.</t>
  </si>
  <si>
    <t>위내시경 검사에서 십이지장 궤양 관찰됩니다. 궤양은 헬리코박터균 감염, 음주, 자극적인 식이, 스트레스 등이 원인으로 궤양이 악화되면 출혈, 천공도 발생할 수 있어 치료가 필요합니다. 소화기내과 진료 권유드립니다.</t>
  </si>
  <si>
    <t>위내시경 검사에서 십이지장염 관찰됩니다. 흡연, 음주, 자극적인 식이, 스트레스 등을 피하시고 불편한 위장관 증상이 있으면 소화기내과 진료 받으시기 바랍니다.</t>
  </si>
  <si>
    <t>위내시경 검사에서 십이지장 점막하종양 관찰됩니다. 정상 점막 하부에 병변이 들어있는 양상을 말하며, 이 때문에 조직검사로는 감별이 어려우며 내시경초음파, CT 등 추가 정밀검사를 통해 대개 진단이 가능합니다. 상담 위해 소화기내과 진료 권유드립니다.</t>
  </si>
  <si>
    <t>위내시경 검사 중 위 속에서 고래회충 관찰되어 포셉으로 제거하였습니다. 고래회충은 바다 생선 및 오징어 등에 서식하는 것으로 알려져 있으며 위장관 염증, 출혈 등을 유발할 수 있습니다. 추가적인 약물치료 위해 소화기내과 진료 받으십시오.</t>
  </si>
  <si>
    <t>위내시경 검사에서 외부 압박이 관찰됩니다. 이는 관찰된 위장관 외부에서 누르는 양상의 압박성 질환이 의심되는 것을 말합며, 내시경 외 추가검사가 필요할지 소화기내과 내원하시어 상담 받으시기 권유드립니다.</t>
  </si>
  <si>
    <t>유방 촬영 결과 양측 유방에 보형물이 삽입되어 있습니다. 양측 유방 및 액와부에 이상 소견은 보이지 않으나, 보형물로 인해 평가가 제한적입니다.</t>
  </si>
  <si>
    <t>자궁경부-질 도말검사에서 암세포는 아니지만 비정형 선상피세포가 관찰됩니다. 자궁의 이형성증, 자궁경부암 및 자궁내막암과 관련성이 있으므로 추가 검사를 위해 빠른 시일 내에 진료를 권유합니다.</t>
  </si>
  <si>
    <t>자궁경부-질 도말검사에서 암세포는 아니지만 비정형 편평세포가 관찰됩니다. 자궁경부의 이형성증, 자궁경부암과 관련성이 있으므로 자궁경부확대촬영, HPV, 조직검사 등의 추가 검사를 위해 빠른 시일 내에 진료를 권유합니다.</t>
  </si>
  <si>
    <t>자궁경부-질 도말검사에서 상피내병변 또는 암 세포는 발견되지 않았으나 칸디다 감염이 관찰됩니다. 일종의 곰팡이균이며, 분비물 증가, 가려움증, 작열감 등의 증상이 발생할 수 있습니다. 진료를 권유합니다.</t>
  </si>
  <si>
    <t>자궁경부-질 도말검사에서 상피내병변 또는 암 세포는 발견되지 않았으나 세균성 감염이 동반된 반응성 세포 변화가 관찰됩니다. 무증상인 경우도 있지만, 악취 및 질 분비물의 증가의 원인이 될 수 있으므로 진료를 권유합니다.</t>
  </si>
  <si>
    <t>자궁경부-질 도말검사에서 상피내병변 또는 암 세포는 발견되지 않았으나 방선균이 관찰됩니다. 무증상인 경우도 있으며, 드물게 골반내 심한 염증을 일으키기도 합니다. 치료 위해 진료를 권유합니다.</t>
  </si>
  <si>
    <t>자궁경부-질 도말검사에서 상피내병변 또는 암 세포는 발견되지 않았으나 방선균 감염이 동반된 반응성 세포 변화가 관찰됩니다. 무증상인 경우도 있으며, 드물게 골반내 심한 염증을 일으키기도 합니다. 치료 위해 진료를 권유합니다.</t>
  </si>
  <si>
    <t>자궁경부-질 도말검사에서 상피내병변 또는 암 세포는 발견되지 않았으나 염증을 동반한 반응성 세포변화가 관찰됩니다. 이전에 없었던 분비물, 냄새 등의 질염증상이 있으면 치료를 권하며, 6개월 이내 관련검사를 받은 적 없으면 HPV 등 추가검사 바랍니다.</t>
  </si>
  <si>
    <t>자궁경부-질 도말검사에서 상피내 암종이 관찰됩니다. 자궁경부암이 의심되며, 조직검사가 필요하므로 빠른 시일 내에 진료를 권유합니다.</t>
  </si>
  <si>
    <t>자궁경부-질 도말검사에서 저등급 편평 상피내 병변이 관찰됩니다. 암으로 진행할 수 있는 비정상적인 세포이며, HPV, 조직검사 등 추가 검사가 필요하므로 빠른 시일 내에 진료를 권유합니다.</t>
  </si>
  <si>
    <t>자궁경부-질 도말검사에서 저등급 편평 상피내 병변 및 인유두종바이러스 감염이 의심됩니다. 암으로 진행할 수 있는 비정상적인 세포이며, 위험인자를 가지고 있으므로 추가 검사 위해 빠른 시일 내에 진료 바랍니다.</t>
  </si>
  <si>
    <t>자궁경부-질 도말검사에서 고등급 편평 상피내 병변이 관찰됩니다. 자궁경부의 중증이형성증이 의심되며, 암의 위험도 및 현 상태를 정확히 평가하기 위해 HPV, 조직검사 등이 필요하므로 반드시 빠른 시일 내에 진료를 권유합니다.</t>
  </si>
  <si>
    <t>자궁경부-질 도말검사에서 고등급 편평 상피내 병변 및 HPV 감염이 관찰됩니다. 자궁경부의 중증이형성증이 의심되며, 암의 위험인자도 가지고 있으므로 자궁경부암에 대한 정밀 검사가 필요합니다. 조직검사 위해 반드시 빠른 시일 내에 진료를 권유합니다.</t>
  </si>
  <si>
    <t>자궁경부-질 도말검사에서 고등급 편평 상피내 병변 및 상피내 암종이 관찰됩니다. 자궁경부암이 의심되며, 조직검사가 필요하므로 빠른 시일 내에 진료를 권유합니다.</t>
  </si>
  <si>
    <t>자궁경부-질 도말검사에서 고등급 편평 상피내 병변을 배제할 수 없는 비정형 편평 세포가 관찰됩니다. 자궁경부암의 위험성이 있으며, 자궁경부의 중등도 이형성증과 관련성이 있으므로 HPV, 조직검사 등의 추가 검사 위해 빠른 시일 내에 진료를 권유합니다.</t>
  </si>
  <si>
    <t>자궁경부-질 도말검사에서 상피내병변 또는 암 세포는 발견되지 않았으나 트리코모나스 질염이 의심됩니다. 트리코모나스는 일종의 기생충이며, 증상 여부와 상관없이 치료가 필요하므로 빠른 시일 내에 진료를 권유합니다.</t>
  </si>
  <si>
    <t>자궁경부-질 도말검사에서 상피내병변 또는 암 세포는 발견되지 않았으나 트리코모나스 감염이 동반된 반응성 세포 변화가 관찰됩니다. 트리코모나스는 일종의 기생충이며, 증상 여부와 상관없이 치료가 필요하므로 빠른 시일 내에 진료를 권유합니다.</t>
  </si>
  <si>
    <t>자궁경부-질 도말검사에서 소량의 양성 편평세포만 관찰되었으며, 자궁경부의 상태를 평가하기에는 만족스럽지 않습니다. 담당 주치의와 상의후 필요시 재검을 권유합니다.</t>
  </si>
  <si>
    <t>자궁경부-질 도말검사에서 상피내병변 또는 암 세포는 발견되지 않았으나 헤르페스 바이러스가 관찰됩니다. 헤르페스 바이러스는 전염성이 있으며, 발열, 근육통, 생식기 부위의 수포 및 통증 등의 나타날 수 있습니다. 진료를 권유합니다.</t>
  </si>
  <si>
    <t>자궁경부-질 도말검사에서 상피내병변 또는 암 세포는 발견되지 않았으나 헤르페스 바이러스가 동반된 반응성 세포 변화가 관찰됩니다. 헤르페스 바이러스는 전염성이 있으며, 발열, 근육통, 수포 및 통증 등의 나타날 수 있습니다. 진료를 권유합니다.</t>
  </si>
  <si>
    <t>복부초음파검사상, 간의 거친 에코상 소견이며, 거친 에코는 만성 간질환에서 보일 수 있으며, 만성 간염, 약물, 음주 등이 원인일 수 있습니다. 현재 상태의 정확한 원인 평가와 향후 관리를 소화기내과 진료를 받으시기 바랍니다.</t>
  </si>
  <si>
    <t>간 초음파에서 경도의 지방간이 관찰됩니다. 음주, 과식, 비만 등이 주 원인이므로 이를 피하시기 바랍니다. 규칙적인 운동과 식이 요법이 필요하며 주기적인 검사를 받으시기 바랍니다.</t>
  </si>
  <si>
    <t>간 초음파에서 중등도의 지방간이 관찰됩니다. 음주, 과식, 비만 등이 주 원인이므로 이를 피하시기 바랍니다. 규칙적인 운동과 식이 요법이 필요하며 주기적인 검사를 받으시기 바랍니다.</t>
  </si>
  <si>
    <t>간 초음파에서 심한 지방간이 관찰됩니다. 음주, 과식, 비만 등이 주 원인이므로 이를 피하시기 바랍니다. 규칙적인 운동과 식이 요법이 필요하며 주기적인 검사를 받으시기 바랍니다.</t>
  </si>
  <si>
    <t>간 초음파에서 담관확장이 관찰됩니다. 담관은 간에서 만들어진 담즙이 흐르는 통로로서, 연령에 따라 일부 확장될 수 있으나, 다른 질병에 의해서도 담관이 늘어날 수 있습니다. 정확한 진단을 위해서 소화기내과 진료를 받으시기 바랍니다.</t>
  </si>
  <si>
    <t>간 초음파에서 간경변(간경화)의 소견이 관찰됩니다. 만성간염, 약물, 음주 등이 원인일 수 있습니다. 소화기내과 진료를 받으시기 바랍니다.</t>
  </si>
  <si>
    <t>간 초음파에서 간에 국소적 지방 침윤 소견이 관찰됩니다. 음주, 과식, 비만 등이 주 원인이므로 이를 피하시기 바랍니다. 규칙적인 운동과 식이 요법이 필요하며 주기적인 검사를 받으시기 바랍니다.</t>
  </si>
  <si>
    <t>간수치가 상승되어 간기능 저하가 의심됩니다. 지방간, 과도한 음주, 간염, 약물등 여러 원인에 의해 상승될 수 있으나 재검사를 통하여 상승 여부를 확인하시고 내과 상담을 받으시길 바랍니다.</t>
  </si>
  <si>
    <t>간기능 수치가 약간 높습니다. 비만, 음주, 지방간 등으로 상승할 수 있습니다. 운동, 절주 후 추적검사하시고 그래도 이상이 있으면 내과나 가정의학과의 진료를 받으세요.</t>
  </si>
  <si>
    <t>운동, 식이조절을 통한 혈압 관리가 필요합니다. 다음 검사 시에 추적관찰 바랍니다.</t>
  </si>
  <si>
    <t>저염식, 운동, 내과상담을 권고합니다.</t>
  </si>
  <si>
    <t>생물학적 노출 지표인 메트헤모글로빈 수치가 상승되어 있습니다. 작업 중 적절한 보호구 착용을 권유드리며, 위약감, 빈맥, 호흡곤란, 청색증 등 관련된 증상이 있다면 의료기관 방문 및 치료를 권유드립니다.</t>
  </si>
  <si>
    <t>보호구 착용, 이비인후과 진료 권고</t>
  </si>
  <si>
    <t>간암지표(AFP)의 상승 소견입니다. 일시적으로 상승하였을 수도 있으나, 임신, 간염, 만성간질환, 간경화, 간암, 생식기암 등에서도 상승할 수 있습니다. 정확한 진단 및 확인을 위해 소화기내과 진료상담 받으시기 바랍니다.</t>
  </si>
  <si>
    <t>요중 적혈구는 방광염, 결석, 종양 등에서 증가할 수 있으니 추적검사 요합니다.</t>
  </si>
  <si>
    <t>방광염, 요로염, 전립선염 등의 질환시 증가할 수 있습니다. 증상있을시 진료받으세요.</t>
  </si>
  <si>
    <t>신질환, 구토, 요로감염, 음식섭취등에 의해 가능합니다</t>
  </si>
  <si>
    <t>일반작업은 가능하나 고강도, 중량물취급시 주의하세요</t>
  </si>
  <si>
    <t>보호구 착용, 금연 및 호흡기 증상있을시 내과 진료를 받으세요</t>
  </si>
  <si>
    <t>편도 증상 완화를 위해 주위 환경을 청결, 실내 온도와 습도 조절이 필요합니다. 잦은 편도의 염증은 코골이와 호흡곤란의 원인이 될 수 있습니다.</t>
  </si>
  <si>
    <t>혈소판 수의 감소는 출혈 위험을 높이며 다른 질환을 시사하는 소견일 수 있습니다. 잇몸 출혈, 잦은 멍 등의 증상 있다면 진료 바랍니다.</t>
  </si>
  <si>
    <t>단독 수치 이상으로는 의미가 없으나, 다른 질환의 초기 소견일 수 있습니다. 추적관찰 바랍니다.</t>
  </si>
  <si>
    <t>현재의 상태는 과거결핵의 흔적일 수도 있고, 현재 재발되거나 발병했을 수도 있습니다. 정밀검사를 위해 외래로 내원하세요</t>
  </si>
  <si>
    <t>현재작업 가능하나, 정형외과를 방문해 주기적인 검사하십시요.</t>
  </si>
  <si>
    <t>혈중 요소질소가 증가된 상태입니다. 요소질소는 신장질환, 단백과다섭취, 탈수, 감염증 등에서 상승할 수 있습니다. 재검사 및 상담을 위해 내원하시기 바랍니다.</t>
  </si>
  <si>
    <t>혈액 검사 BUN(혈중요소질소)가 증가하였습니다. 이는 일시적인 탈수, 피로, 신장질환 등에 의해서도 나타날 수 있습니다. 정기검진으로 수치의 변화를 확인하십시오.</t>
  </si>
  <si>
    <t>리파아제는 췌장에서 분비되는 지방 분해 효소로 주로 췌장 질환이 있을 경우 증가하며 신장 질환에서도 증가할 수 있습니다. 관련 증상(복통 등) 있을시 내과에 방문하여 정밀검사 받으시고, 증상 없을시 추적검사 받으시기 바랍니다.</t>
  </si>
  <si>
    <t>폐렴 의심, 호흡기 내과 진료</t>
  </si>
  <si>
    <t>보호구를 잘 착용하시고 정기적으로 확인하세요. 호흡곤란(숨참), 기침 등 호흡기 증상이 있으면 내과와 직업환경의학과 진료를 받으시기 바랍니다.</t>
  </si>
  <si>
    <t>세뇨관 장애, 요로의 염증 등 비뇨기계 질환이 의심됩니다. 증상이 있을시 비뇨기과 진료보시기 바랍니다.</t>
  </si>
  <si>
    <t>과로나 심한 운동으로 인한 일시적 현상일 가능성이 높지만, 매년 단백뇨 소견 있을 경우에는 신장내과 진료를 받아보시기 바랍니다.</t>
  </si>
  <si>
    <t>심박변이도검사상 스트레스에 대한 대처능력이 저하된 상태입니다. 당뇨병, 우울증 등의 만성질환이 있는지 확인이 필요합니다.</t>
  </si>
  <si>
    <t>심박변이도검사상 만성 스트레스 상태로 통증, 피로, 우울 등 증상이 지속되면 의료기관(내과/정신과)을 방문하세요.</t>
  </si>
  <si>
    <t>심박변이도검사 자율신경계세부평가에서 교감신경 항진 상태입니다. 스트레스, 불안요인이 있다면 적절한 상담이 필요합니다.</t>
  </si>
  <si>
    <t>심박변이도검사 자율신경계세부평가에서 부교감신경 항진상태 입니다. 가슴두근거림, 어지러움증 등 증상이 있다면 의료기관에 방문해 상담하세요.</t>
  </si>
  <si>
    <t>심전도상의 우심실비대소견입니다. 운동을 많이 하는 분이나 정상인도 보이는 소견이므로 치료가 필요하지 않지만, 흉통 등의 증상 발생시나 확진을 위해서는 심장 정밀검사를 하십시요.</t>
  </si>
  <si>
    <t>심박변이도검사 자율신경계 세부평가에서 교감신경 과활성 상태입니다. 과도한 긴장 및 스트레스, 불안요인이 있다면 적절한 상담이 필요합니다.</t>
  </si>
  <si>
    <t>심박변이도검사 자율신경계 세부평가에서 부교감신경 과활성 상태입니다. 어지러움, 두통, 기분저하, 불면 등의 증상이 있으면 의료기관을 방문하여 상담하시기 바랍니다.</t>
  </si>
  <si>
    <t>B형 간염검사에서 항원 약양성 결과입니다. 간염보균 상태가 추정되지만, 간혹 정상인 경우에도 검사시기에 따라 약양성 결과가 나오는 경우가 있습니다. 건강주의하시고 1-2개월 후 외래로 내원하시어 확인검사하시기 바랍니다.</t>
  </si>
  <si>
    <t>감기, 감염, 염증 등에 의한 증상일 가능성이 높습니다. 발열, 통증, 호흡기 증상(기침, 가래 등)이 있으면 내과 진료 바랍니다. 이외 추적관찰 바랍니다.</t>
  </si>
  <si>
    <t>여러 원인에 의해 발생 가능하지만, 작업시 보호구를 철저히 하고, 화학물질 취급시에는 환기를 잘해야 합니다. 이상 증상이 있을 경우 내과 및 직업환경의학과 진료를 받으시기 바랍니다.</t>
  </si>
  <si>
    <t>규칙적인 운동, 식이조절</t>
  </si>
  <si>
    <t>제한성 폐기능 저하 소견이 있으나, 과거 검사결과 등을 종합할 때 큰 이상은 없을 것으로 보입니다. 금연하시고, 작업시 보호구를 잘 착용하세요.</t>
  </si>
  <si>
    <t>월경과 관련된 여성호르몬 수치가 높습니다. 폐경으로 인한 증상(기분이 불안정함, 얼굴이 화끈거리고 달아오름, 건망증, 수면장애 등)이 불편한 경우에는 호르몬요법을 고려할 수 있습니다. 산부인과에서 상담하시기 바랍니다.</t>
  </si>
  <si>
    <t>▶대장 조직검사 결과 만성 염증 소견입니다. 흡연, 음주, 자극적인 음식 등을 피하시고 특이 증상 없다면 정기검진 받으십시오.</t>
  </si>
  <si>
    <t>▶대장 조직검사 결과 만성 대장염 소견입니다. 흡연, 음주, 자극적인 음식 등을 피하시고 특이 증상 없다면 정기검진 받으십시오.</t>
  </si>
  <si>
    <t>폐기능검사 결과, 만성폐쇄성폐질환 또는 천식 등 호흡기 질환이 의심됩니다. 근무 중 유해 인자 노출로 악화될 수 있으므로 적합한 마스크를 반드시 착용해야 합니다. 증상 있으면 호흡기내과 내원하여 진료 바랍니다.</t>
  </si>
  <si>
    <t>폐기능검사 결과, 들이마시는 폐기능이 떨어지는 호흡기 질환이 의심됩니다. 근무 중 유해 인자 노출로 악화될 수 있으므로 적합한 마스크를 반드시 착용해야 합니다. 증상 있으면 호흡기내과 내원하여 진료 바랍니다.</t>
  </si>
  <si>
    <t>폐기능검사 결과, 폐기능이 떨어지는 호흡기 질환이 의심됩니다. 근무 중 유해 인자 노출로 악화될 수 있으므로 적합한 마스크를 반드시 착용해야 합니다. 증상 있으면 호흡기내과 내원하여 진료 바랍니다.</t>
  </si>
  <si>
    <t>금연하시고 기침, 가래 등 기관지 이상 증상이 있을 경우 내과진료하십시오.</t>
  </si>
  <si>
    <t>좌측 귀에 청력저하 소견이 관찰됩니다. 소음이 발생하는 부서에서 근무는 가능하나 청력보존프로그램을 시행해야 하고, 보호구를 철저히 착용하여야 합니다.</t>
  </si>
  <si>
    <t>우측 귀에 청력저하 소견이 관찰됩니다. 소음이 발생하는 부서에서 근무는 가능하나 청력보존프로그램을 시행해야 하고, 보호구를 철저히 착용하여야 합니다.</t>
  </si>
  <si>
    <t>금연하시고 기침, 가래 등 기관지 이상 증상이 있을 경우 호흡기내과 진료를 받으세요.</t>
  </si>
  <si>
    <t>동맥경화를 악화시키는 요인(흡연, 당뇨, 고지혈, 고혈압)을 관리하세요</t>
  </si>
  <si>
    <t>바른 자세 유지 및 스트레칭 필요하며, 척추센터 진료 통하여 관리 받으시기 바랍니다.</t>
  </si>
  <si>
    <t>기관지 확장증이 의심됩니다. 기침, 가래 등 기관지 이상 증상이 있을 경우 내과진료를 받으세요.</t>
  </si>
  <si>
    <t>경미한 간효소수치의 상승이 있습니다. 비만이나 약물복용, 과격한 운동 등이 원인이 될 수 있으면 치료가 필요한 것은 아닙니다.</t>
  </si>
  <si>
    <t>간효소수치의 상승이 있습니다. 비만이나 약물복용, 과격한 운동등이 원인이 될 수 있으나 간염등의 원인이 될 수 있습니다. 간염등에 대한 검사가 필요합니다.</t>
  </si>
  <si>
    <t>당뇨질환 전단계를 의미하며 정기적인 당뇨검사가 필요합니다. 식이습관 변화, 규칙적인 운동이 필요합니다. 야근-혈당상승-심혈관 질환의 연관성에 주의하십시요</t>
  </si>
  <si>
    <t>연령에 따라 정기적으로 적절한 검진을 받으시고, 이상 소견이 있을 경우 병의원을 방문하시기 바랍니다.</t>
  </si>
  <si>
    <t>업무 지속 시에 소견이 악화될 수 있습니다. 운동, 식이조절로 관리 필요합니다. 다음 검사 시에 추적관찰 바랍니다.</t>
  </si>
  <si>
    <t>업무 지속 시에 소견이 악화될 수 있습니다. 운동,식이조절로 관리 필요합니다. 다음 검사 시에 추적관찰 바랍니다.</t>
  </si>
  <si>
    <t>본원에서 과거에 시행받은 위내시경 검사상 (     ) 소견이 확인됩니다. 소화불량, 속쓰림 등의 증상이 있을 경우 소화기내과 진료를 받으시기 바랍니다.</t>
  </si>
  <si>
    <t>야간작업을 지속하면 소견이 악화될 수 있습니다. 작업 종료 후에 선글라스 착용, 수면 전에 안대착용, 암막커튼 등으로 빛을 차단하여 입면 전 수면위생 관리 바랍니다.</t>
  </si>
  <si>
    <t>복부비만이 있습니다. 복부비만은 각종 심뇌혈관 질환 등의 위험요인이므로, 규칙적인 유산소 운동 및 식이조절을 통해 관리하시기 바랍니다.</t>
  </si>
  <si>
    <t>운동,식이조절로 관리 필요합니다. 다음 검사 시에 추적관찰 바랍니다.</t>
  </si>
  <si>
    <t>작업 종료 후에 선글라스 착용, 수면 전에 안대착용, 암막커튼 등으로 빛을 차단하여 입면 전 수면위생 관리 바랍니다.</t>
  </si>
  <si>
    <t>야간작업에 의한 불면증을 개선하기 위해서는 충분한 수면시간을 확보해야 합니다. 야간작업 후에 바로 3-4시간 자고, 출근 전에 2-3시간 수면을 취하는 것이 좋습니다. 수면을 취할 때는 커튼을 쳐서 어둡게 하고 소음이 나지 않도록 하는 것이 숙면에 도움이 됩니다.</t>
  </si>
  <si>
    <t>야간작업은 불면증을 유발할 수 있으므로 수면을 효과적으로 취해야 합니다. 야간작업 후에 바로 3-4시간 자고, 출근 전에 2-3시간 수면을 취하는 것이 좋습니다. 수면 중에는 커튼을 쳐서 어둡게 하고 소음이 나지 않도록 하는 것이 숙면에 도움이 됩니다.</t>
  </si>
  <si>
    <t>야간 작업은 수면장애, 위장관질환, 심혈관계 질환에 영향을 미칠수 있으므로 적절한 관리가 필요합니다.</t>
  </si>
  <si>
    <t>간기능 이상이 의심됩니다. 체중 감량이 필요합니다. 또한, 정확한 진단과 치료를 위해 소아청소년과 진료를 권합니다.</t>
  </si>
  <si>
    <t>저염식이 및 규칙적인 운동 필요하며, 진료 요함.</t>
  </si>
  <si>
    <t>만성폐쇄성폐질환 병력이 있습니다. 흡연 중이실 경우에는 반드시 금연하셔야 하며, 정기적인 검진을 통해 폐기능에 대해 추적관찰 하시기 바랍니다.</t>
  </si>
  <si>
    <t>운동, 저지방식이, 내원 상담</t>
  </si>
  <si>
    <t>작업시 보호구(귀마개 또는 귀덮개) 착용 철저히 하시고, 비소음부서 근무를 권합니다.</t>
  </si>
  <si>
    <t>소음성 난청에 대한 교육을 받으시고, 반드시 귀마개 착용하여 근무하세요</t>
  </si>
  <si>
    <t>소음 노출 시 보호구 착용, 최소 소음부서 근무 고려. 필요시 검사규정을 준수한 재검사 또는 객관적인 검사가 추가로 필요함</t>
  </si>
  <si>
    <t>노화로 인한 청력감소가 진행 중이며, 소음과 귀 질환으로 인해 악화 가능성 있습니다. 작업 중 귀마개 착용 바라며 청력에 불편을 느낄 경우 이비인후과 진료 바랍니다.</t>
  </si>
  <si>
    <t>간수치가 크게 상승하였습니다. 근무중 유해인자 노출이나 다른 원인에 의한 간담도계 질환이 의심됩니다. 내과 내원하여 진단 및 치료 바라며, 적합한 보호구를 반드시 착용 바랍니다.</t>
  </si>
  <si>
    <t>심장에 무리가 와 심장 근육이 변한 것으로 심부전증, 협심증을 유발할 수 있습니다. 정확한 진단, 치료를 위해 심장내과 진료 바랍니다.</t>
  </si>
  <si>
    <t>정상에서도 나타날 수 있으나, 다른 심장 질환이 동반되어 있을 가능성이 큽니다. 심장내과 진료 바랍니다.</t>
  </si>
  <si>
    <t>심장에 무리가 와 심장 근육이 변한 것으로 심부전증, 협심증을 유발할 수 있으며, 고혈압 또한 동반되었으므로 심장내과 진료 바랍니다.</t>
  </si>
  <si>
    <t>심장 전도가 일부 되지 않는 것으로 느린 심장박동, 실신 등의 증상이 있을 수 있습니다. 정확한 진단 및 치료를 위해 심장내과 진료 바랍니다.</t>
  </si>
  <si>
    <t>어지러움, 호흡곤란, 두근거림 등의 증상이 있을 경우 다른 심장질환의 가능성을 시사하는 소견이므로 심장내과 내원하여 정밀 검사 바랍니다.</t>
  </si>
  <si>
    <t>정상적인 경우에도 일시적으로 나타날 수 있으나, 심근 경색, 심장 비대, 약물에 의한 가능성 있습니다. 두근거림, 가슴통증, 어지러움 등의 증상이 있다면 심장내과 진료 바랍니다.</t>
  </si>
  <si>
    <t>정상적인 경우에도 나타날 수 있지만, 전도장애, 심근경색, 우심실비대 등의 질환일 가능성이 있습니다. 흉통, 심계항진, 호흡곤란 등의 증상이 있는 경우에는 심장내과 진료 바랍니다.</t>
  </si>
  <si>
    <t>가슴통증, 불편감, 호흡곤란 등 증상 없이 심전도 소견만으로 진단할 수는 없으나 심장질환의 감별 위하여 심장내과 진료 및 정밀 검사 바랍니다.</t>
  </si>
  <si>
    <t>비교적 흔한 부정맥으로 고혈압 등 심장질환, 폐질환, 갑상선 질환, 카페인 섭취, 스트레스, 음주 등으로 발생할 수 있습니다. 심장내과 진료가 필요합니다.</t>
  </si>
  <si>
    <t>심장 박동을 빠르게 일으킬 수 있는 전기전도 우회로가 존재합니다(WPW증후군). 선천적인 것으로, 증상이 없다면 특별한 치료 없이 정기 검진만으로 충분하나, 흉통, 호흡곤란 등의 증상이 있다면 심장내과 진료 바랍니다.</t>
  </si>
  <si>
    <t>혈색소 수치가 상당히 낮아 빈혈이 심합니다. 원인을 확인할 필요가 있으며, 장기적으로 심장에 부담이 될 수 있으니 내과 또는 가정의학과 진료를 받으시기 바랍니다.</t>
  </si>
  <si>
    <t>감마지티피(r-GTP) 수치가 매우 높습니다. r-GTP 증가는 음주, 약물, 지방간 등에 의해 발생할 가능성이 높습니다. 내과나 가정의학과에서 진료를 받으세요.</t>
  </si>
  <si>
    <t>신장기능 저하(크레아티닌 상승, 신사구체여과율 감소)소견이 있습니다. 평소 진료받는 내과 통해 투석치료 및 신장기능에 대한 꾸준한 관리를 받으시기 바랍니다.</t>
  </si>
  <si>
    <t>청력저하 또는 염증으로 인하여 생활이 불편하면 이비인후과 진료를 받아보세요. 되도록 소음에 적게 노출되도록 소음작업에 대한 관리가 필요하고, 작업시 귀마개를 잘 착용하시기 바랍니다.</t>
  </si>
  <si>
    <t>과도한 운동이나 피로후에 증가할 수 있으나 배뇨통, 빈뇨 등의 증상 있을시 진료받으세요.</t>
  </si>
  <si>
    <t>활동성 B형간염이 의심됩니다. 내과 진료, 상담 받으시기 바랍니다.</t>
  </si>
  <si>
    <t>B형 간염 표면항원 양성입니다. 현재 B형 간염 바이러스에 감염 중이거나 만성 보균자임을 뜻합니다. 과음, 과로를 피하시고 주기적으로 간기능 검사 및 간초음파 검사를 받으시기 바랍니다.</t>
  </si>
  <si>
    <t>간기능 검사상 혈중빌리루빈이 증가되었습니다. 간장,담도계질환 및 혈액질환시 상승할 수 있습니다. 정확한 원인규명과 치료를 위해 내원하여 상담하시기 바랍니다.</t>
  </si>
  <si>
    <t>폐기능검사 결과, 만성폐쇄성폐질환 또는 천식 등 호흡기 질환이 의심됩니다. 근무 중 유해 인자 노출이나 다른 원인에 의한 것으로 적합한 마스크를 반드시 착용해야 합니다. 호흡기내과 내원하여 진단 및 치료 바랍니다.</t>
  </si>
  <si>
    <t>폐기능검사 결과, 들이마시는 폐기능이 떨어지는 호흡기 질환이 의심됩니다. 근무 중 유해 인자 노출이나 다른 원인에 의한 것으로 적합한 마스크를 반드시 착용해야 합니다. 호흡기내과 내원하여 진단 및 치료 바랍니다.</t>
  </si>
  <si>
    <t>폐기능검사 결과, 폐기능이 떨어지는 호흡기 질환이 의심됩니다. 근무 중 유해 인자 노출이나 다른 원인에 의한 것으로 적합한 마스크를 반드시 착용해야 합니다. 호흡기내과 내원하여 정확한 진단 및 치료 바랍니다.</t>
  </si>
  <si>
    <t>혼합성난청 소견이 보입니다. 과거중이염과 같은 염증과 소음의 영향을 받은 것으로 고려됩니다. 되도록 소음에 적게 노출되도록 소음작업에 대한 관리가 필요하고, 작업시 귀마개를 잘 착용하시기 바랍니다.</t>
  </si>
  <si>
    <t>2차검사 결과, 혈압이 높습니다. 고혈압 질환 소견입니다. 내과 또는 가정의학과 내원하여 진료 및 치료 바랍니다.</t>
  </si>
  <si>
    <t>고혈압 소견이 확인됩니다. 병의원을 방문하여 관리 및 치료 받으시기 바라며, 혈압 조절이 안 될 경우 업무적합성평가를 거쳐 작업전환도 고려해 봐야 합니다.</t>
  </si>
  <si>
    <t>혈압 조절이 잘되지 않고 있습니다. 병의원을 방문하여 더욱 철저히 관리 및 치료받으시기 바라며, 혈압 조절이 안 될 경우 업무적합성평가를 거쳐 작업전환도 고려해 봐야 합니다.</t>
  </si>
  <si>
    <t>이상지질혈증 소견이 확인됩니다. 병의원을 방문하여 관리 및 치료 받으시기 바라며, 혈중 지질 조절이 안 될 경우 업무적합성평가를 거쳐 작업전환도 고려해 봐야 합니다.</t>
  </si>
  <si>
    <t>혈중 지질 조절이 잘되지 않고 있습니다. 병의원을 방문하여 더욱 철저히 관리 및 치료받으시기 바라며, 혈중 지질 조절이 안 될 경우 업무적합성평가를 거쳐 작업전환도 고려해 봐야 합니다.</t>
  </si>
  <si>
    <t>2차검사 결과, 혈당이 상승했습니다. 당뇨병 질환 소견입니다. 내과 또는 가정의학과 내원하여 진료 및 치료 바랍니다.</t>
  </si>
  <si>
    <t>2차검사 결과, 당화혈색소가 상승했습니다. 당뇨병 질환 소견입니다. 내과 또는 가정의학과 내원하여 진료 및 치료 바랍니다.</t>
  </si>
  <si>
    <t>야간작업 관련 수면장애가 있습니다. 병의원을 방문하여 관리 및 치료받으시기 바라며, 증상 조절이 안 될 경우 업무적합성평가를 거쳐 작업전환도 고려해 봐야 합니다.</t>
  </si>
  <si>
    <t>평소 혈압을 잘 관리하시고, 치료 중인 병원에서 상의해 보시기 바랍니다.</t>
  </si>
  <si>
    <t>치료 미흡, 혈당관리 필요</t>
  </si>
  <si>
    <t>추가적인 인지기능 평가가 필요합니다. 가까운 병·의원 및 중앙·광역치매센터, 치매상담콜센터(1899-9988)와 상담하십시오.</t>
  </si>
  <si>
    <t>넘어진 경험이 있는 사람은 또 다시 넘어져 크게 다칠 위험이 큽니다. 누웠다 일어나는 등 움직이실 때 몸을 천천히 움직이시고, 미끄러지지 않도록 주의하세요.</t>
  </si>
  <si>
    <t>인플루엔자는 고열과 기침, 통증 등을 발생시킬 수 있을 뿐만 아니라 심각한 폐렴의 원인이 될 수 있습니다. 매년 10월에서 12월 사이 인플루엔자 예방접종을 받으세요.</t>
  </si>
  <si>
    <t>요침사검사에서 혈액성분이 검출됩니다. 소변의 혈액성분은 비뇨기계의 염증이나 결석, 종양 등에 의해 나올 수 있으나, 소변채취시의 오류에 의해서도 발생할 수 있습니다. 가까운 시일내에 소변  검사를 다시 받아보시기 바랍니다.</t>
  </si>
  <si>
    <t>헬리코박터 항체검사 약양성입니다. 헬리코박터균은 위염 또는 위궤양의 원인이 되는 병원체이며, 이 검사의 양성은 과거 또는 현재의 감염을 의미합니다. 상복부통증, 속쓰림 등의 증상이 있다면 내원치료 받으시기 바랍니다.</t>
  </si>
  <si>
    <t>일반혈액검사의 검사항목 중 혈소판 분포폭(MPV), 망상적혈구수가 정상범위를 벗어났으나, 다른 검사와 종합할 때 병적 소견은 아닙니다.</t>
  </si>
  <si>
    <t>요중 박테리아가 검출 되었습니다. 비뇨기계 감염이 있을 때 검출될 수 있습니다. 소변 시 통증, 빈뇨, 야간뇨, 핍뇨 등 소변 관련 불편 증상이 있는 경우 비뇨기과 진료를 받으십시오.</t>
  </si>
  <si>
    <t>혈액 검사 BUN(혈중요소질소)가 정상범위를 벗어나 감소되어 있습니다. 임상적으로는 큰의미는 없으나, 차후 검사시 수치의 변화를 확인하시기 바랍니다.</t>
  </si>
  <si>
    <t>혈액 검사 요산수치가 정상범위를 벗어나 감소되어 있습니다. 임상적으로는 큰의미는 없으나, 차후 검사시 수치의 변화를 확인하시기 바랍니다.</t>
  </si>
  <si>
    <t>간기능 검사상 혈중빌리루빈이 증가되었습니다. 황달을 나타내는 지표로서 간장, 담도계 질환 및 혈액질환시 상승할 수 있습니다. 정기검진을 통하여 수치변화를 확인하시기 바랍니다.</t>
  </si>
  <si>
    <t>혈액검사상 혈색소 수치 증가와 연동된 일부 항목에서 기준치를 약간 벗어난 소견이 보입니다(평균적혈구혈색소 증가, 혈구용적치 증가). 다른 빈혈검사에서도 이상소견이 발견되었다면 주의하시어 건강관리하시고, 주기적으로 경과관찰하시기 바랍니다.</t>
  </si>
  <si>
    <t>ldh, cpk</t>
  </si>
  <si>
    <t>혈액검사에서 크레아틴 포스키나제(CPK)와 유산탈수효소(LDH)가 증가해있습니다. 이는 일시적일수도 있지만 심근경색증, 다발성 근염, 간실질의 장애 등에서 증가하는 수치로 관련 증상 있을 시 내과 진료를 받으십시오.</t>
  </si>
  <si>
    <t>헬리코박터균은 위염 또는 위궤양의 원인이 되는 균이며, 이 검사의 양성은 과거 또는 현재의 감염을 의미합니다. 특이증상이 있다면 내원치료 받으시기 바랍니다.</t>
  </si>
  <si>
    <t>혈중 철 수치가 감소하였습니다. 하지만 단독적인 수치 감소로는 임상적인 의미를 두기 어렵습니다. 철분, 단백질이 풍부한 식사 하시고 추후 정기검진상 수치변화를 확인하십시오.</t>
  </si>
  <si>
    <t>B형 간염검사에서 항원 약양성 결과입니다. 간염보균 상태가 추정되지만, 간혹 정상인 경우에도 검사시기에 따라 약양성 결과가 나오는 경우가 있습니다. 외래로 내원하시어 확인검사하시기 바랍니다.</t>
  </si>
  <si>
    <t>혈중 호모시스테인 수치가 높은 편입니다. 호모시스테인 수치가 높으면 동맥경화, 심장혈관 질환, 뇌졸중 및 치매의 발생 위험이 증가합니다. 엽산, 비타민 B(B6, B12등) 등이 부족하면 호모시스테인이 증가할 수 있습니다.</t>
  </si>
  <si>
    <t>간기능 검사상 혈액내의 간효소가 증가되었습니다. 간효소가 증가하는 것은 체중증가나 음주가 흔한 원인입니다. 과음, 과식을 삼가고 추적검사를 권합니다.</t>
  </si>
  <si>
    <t>혈중 총빌리루빈이 증가되어 있습니다. 황달을 나타내는 지표로서 간장,담도계질환 및 혈액질환시 상승할 수 있습니다. 귀하의 경우, 경미한 증가로 다른 간기능 검사수치가 정상이므로 큰 의미를 두기 어렵습니다.</t>
  </si>
  <si>
    <t>소변 검사에서 잠혈, WBC esterase, 요침사검사에서 백혈구와 적혈구, 세균, 상피세포가 발견되었습니다. 이는 신장질환이나 요로결석, 비뇨기계의 감염에서 나타날 수 있으나 정상에서도 관찰될 수 있습니다. 관련증상 시 비뇨기과 진료받아보시기 바랍니다.</t>
  </si>
  <si>
    <t>심장 및 근육에 존재하는 크레아틴포스포키나제(CPK)가 증가했습니다. 심장질환 및 근육질환에서 증가하나 심한 운동, 채혈시 용혈 등에 의해서도 증가될 수 있습니다.추후 다시 검사하여 수치 변화 여부를 확인하십시오.</t>
  </si>
  <si>
    <t>소화기암 표지자(CEA) 수치가 높게 나왔습니다. 대장암등이 있을때 유의하게 증가하나 위염이나 장염 등이 있으면 증가할 수도 있고, 여성에서 임신과 관련하여 증가할 수도 있습니다. 소화기내과 상담을 받으시기 바랍니다.</t>
  </si>
  <si>
    <t>난소암표지자(CA125)가 높게 나왔습니다. 이 수치의 상승이 난소암이 있다는 것을 의미하는 것은 아니며 감기, 생리, 자궁근종, 자궁내막증, 임신, 골반염 등의 양성질환에서도 상승할 수 있습니다. 정확한 진단 및 평가를 위해 산부인과 상담을 받으시기 바랍니다.</t>
  </si>
  <si>
    <t>혈중 알카리포스파타제(ALP) 수치가 상승하였습니다. 간담도 질환, 골 질환 등에서 상승할 수 있으므로 동반 증상 있을시 내과진료 하시고 증상 없을시 추적검사 하시기 바랍니다.</t>
  </si>
  <si>
    <t>혈중 총콜레스테롤, 중성지방, LDL-콜레스테롤이 높습니다. 증가시 고지혈증, 관상동맥질환 등의 위험이 있으며 약물 치료가 필요할수 있습니다.다시 검사 해보시고 계속 높게 나올 때에는 내분비 내과 진료 받으십시오.</t>
  </si>
  <si>
    <t>혈중 HDL콜레스테롤이 감소되어 있습니다. HDL콜레스테롤은 신체기능에 도움을주는 좋은 콜레스테롤입니다. 견과류(호두, 잣 등), 등푸른 생선, 올리브유 등이 풍부한 식사를 하시고, 규칙적으로 운동하시는 것이 필요합니다.</t>
  </si>
  <si>
    <t>간기능 검사상 혈중빌리루빈이 증가되었습니다. 간장,담도계질환 및 혈액질환시 상승할 수 있으나 건강한 사람도 일시적으로 증가할 수 있습니다. 내과 상담을 권합니다.</t>
  </si>
  <si>
    <t>혈중 철(iron), 저장철(ferritin) 수치가 의미있게 감소하였으며, 혈색소 수치 감소하여 철결핍성 빈혈을 의심할 수 있습니다. 혈액종양내과 진료를 보십시오.</t>
  </si>
  <si>
    <t>혈중 중성지방이 증가되어있으며, HDL콜레스테롤이 감소되어 있습니다. 지속적인 콜레스테롤 관리받으시기 바랍니다.</t>
  </si>
  <si>
    <t>혈당 및 당화혈색소 수치 증가하여 당뇨병이 의심됩니다. 이미 치료중이시라면 치료 유지 해주시고, 적절한 치료 받지 않고 있을 시 약물치료가 필요할수도 있으니 내과 진료를 받으시기 바랍니다.</t>
  </si>
  <si>
    <t>간기능 검사상 혈중빌리루빈이 증가되었습니다. 황달을 나타내는 지표로서 간장,담도계질환 및 혈액질환시 상승할 수 있습니다. 내과진료를 받으시기 바랍니다.</t>
  </si>
  <si>
    <t>홍역(Measles)에 대한 항체가 양성입니다. 일반적으로 면역력이 있음을 뜻합니다. 다만, 홍역감염과 관련된 증상이 있다면 최근 감염을 의심해야 하므로 의료기관에서 상담을 받으시기 바랍니다.</t>
  </si>
  <si>
    <t>풍진(Rubella)에 대한 항체가 양성입니다. 일반적으로 면역력이 있음을 뜻합니다. 다만, 풍진감염과 관련된 증상이 있다면 최근 감염을 의심해야 하므로 의료기관에서 상담을 받으시기 바랍니다.</t>
  </si>
  <si>
    <t>복부 초음파 검사에서는 간, 담낭, 췌장, 비장, 신장을 검사하였습니다. 귀하의 복부 초음파 검사결과 이상 소견이 발견되지 않았습니다.</t>
  </si>
  <si>
    <t>혈중 알칼리성 포스파타제치가 상승했습니다. 간기능의 보조지표로서 단독 상승으로는 의미가 없지만, 원인규명을 위해 상담 및 진료가 필요합니다. 진료를 위해 가정의학과 또는 내과로 내원하시기 바랍니다.</t>
  </si>
  <si>
    <t>혈중 콜레스테롤이 증가되어 있습니다. 동물성지방 특히 콜레스테롤이 많이 함유된 음식(튀긴음식, 새우, 오징어, 장어 등)을 피하는 것이 좋겠습니다. 고지혈증 여부를 확인하기 위해 엄격한 공복후에 재검을 받아보시기 바랍니다.</t>
  </si>
  <si>
    <t>위장관내시경검사에서 식도에 식도열공 헤르니아 소견입니다. 식도열공 헤르니아는 횡경막에 생긴 틈을 통해 위가 올라가있는 것을 말하며 대부분 특별한 문제가 없으나 속쓰림, 소화불량 등 증상이 있는 경우에는 치료가 필요합니다.</t>
  </si>
  <si>
    <t>혈액검사상 호산구가 경미하게 증가되어 있습니다. 호산구는 백혈구의 성분 중 하나로서 알레르기성 질환, 기생충 감염시 흔히 증가되며, 일반적인 감염성 질환에서도 증가됩니다만 정상인에서도 일시적으로 증가하는 경우도 있습니다.</t>
  </si>
  <si>
    <t>위조영촬열술검사에서 위염 소견입니다. 위염은 위의 표면에 염증이 발생한 것으로 속쓰림, 소화불량, 오심(구역질), 구토 등의 증상이 있을 경우 내원 치료 바랍니다.</t>
  </si>
  <si>
    <t>위조영촬영술검사에서 식도게실 소견입니다.  속쓰림, 소화불량, 신물이 넘어오는 등의 증상이 있을 경우 치료를 요합니다. 내원하시어 상담하시기 바랍니다.</t>
  </si>
  <si>
    <t>위조영촬영술검사에서 십이지장게실 소견입니다.  속쓰림, 소화불량, 신물이 넘어오는 등의 증상이 있을 경우 치료를 요합니다. 내원하시어 상담하시기 바랍니다.</t>
  </si>
  <si>
    <t>위조영촬영술검사에서 십이지장변형 소견입니다.  속쓰림, 소화불량, 신물이 넘어오는 등의 증상이 있을 경우 치료를 요합니다. 내원하시어 상담하시기 바랍니다.</t>
  </si>
  <si>
    <t>콩팥(신장)에 생긴 물혹으로 건강에 나쁜 영향을 미치지 않으나, 변화 여부를 알아보기 위해 6개월 후 추적 초음파검사를 받아보세요.</t>
  </si>
  <si>
    <t>콩팥에 생긴 물혹으로 건강에 나쁜 영향을 미치지 않으나, 변화 여부를 알아보기 위해 6개월 후 추적 초음파검사를 받아보세요.</t>
  </si>
  <si>
    <t>복부초음파 검사에서 경미한 지방간 소견입니다. 지방간은 간에 지방성분이 쌓인 것으로 비만과 음주가 주요 원인입니다. 저지방식, 금주, 체중조절 등 적극적인 건강관리가 필요합니다.</t>
  </si>
  <si>
    <t>복부 초음파 검사에서는 간, 담낭, 췌장, 비장, 신장을 검사하였습니다. 그 결과 담도계에 이상소견이 의심됩니다. 내원하여 상담을 받으시기 바랍니다.</t>
  </si>
  <si>
    <t>복부 초음파 검사에서는 간, 담낭, 췌장, 비장, 신장을 검사하였습니다. 귀하의 복부 초음파 검사결과 담낭절제 상태로 나왔습니다. 정기적인 검사를 통하여 지속적인 건강을 유지하시기 바랍니다.</t>
  </si>
  <si>
    <t>복부 초음파 검사에서는 간, 담낭, 췌장, 비장, 신장을 검사하였습니다. 복부 초음파 검사 결과 췌장 위축 소견이 있습니다. 금식이 제대로 되지 않아 나타나는 현상일 수 있으나 추후 내원하셔서 경과관찰 하시기 바랍니다.</t>
  </si>
  <si>
    <t>복부 초음파 검사에서는 간, 담낭, 췌장, 비장, 신장을 검사하였습니다. 복부초음파 검사 결과 췌장이 제대로 나타나지 않습니다. 금식후 재검사를 권합니다.</t>
  </si>
  <si>
    <t>복부 초음파 검사에서는 간, 담낭, 췌장, 비장, 신장을 검사하였습니다. 복부초음파 결과 전년 소견과 변화가 없었습니다. 정기적인 검사를 통하여 현재의 상태를 확인하시고 건강관리를 하시기 바랍니다.</t>
  </si>
  <si>
    <t>지방간, 간낭종</t>
  </si>
  <si>
    <t>초음파 검사 결과 지방간과 간 낭종 소견이 보입니다. 금주와 규칙적인 운동을 하시고, 간 낭종의 크기와 모양을 관찰하기 위하여 정기적으로 검사를 받으시고 추적관찰하시기 바랍니다.</t>
  </si>
  <si>
    <t>지방간, 간석회화</t>
  </si>
  <si>
    <t>지방간, 담낭용종</t>
  </si>
  <si>
    <t>복부 초음파 검사결과 지방간과 담낭용종 소견이 보입니다. 금주 및 규칙적인 운동을 통하여 건강관리하시고, 담낭의 용종상태 관찰을 위하여 정기적인 초음파검사를 하시기 바랍니다.</t>
  </si>
  <si>
    <t>지방간, 담석</t>
  </si>
  <si>
    <t>복부 초음파 검사 결과 지방간과 담석증 소견이 관찰됩니다. 저지방식이, 규칙적 운동, 금주 등을 통하여 건강관리하시고, 담석증 상태의 추적관찰을 위하여 정기적으로 복부초음파 검사를 하시기 바랍니다.</t>
  </si>
  <si>
    <t>지방간, 신장낭종</t>
  </si>
  <si>
    <t>복부 초음파 검사 결과 지방간과 신장 낭종 소견이 관찰되었습니다. 금주 및 규칙적운동으로 건강관리 잘 하시고, 신 낭종의 변화 상태 관찰을 위하여 정기적인 추적관찰을 하시기 바랍니다.</t>
  </si>
  <si>
    <t>간, 신장 낭종</t>
  </si>
  <si>
    <t>소변에서 단백성분이 검출됩니다. 소변의 단백성분은 신기능에 이상이 있을때 나타날 수 있으나, 심한 운동이나 음주 후에도 양성으로 나올수 있습니다. 가까운 시일내에 소변검사를 다시 받아보시기 바랍니다.</t>
  </si>
  <si>
    <t>소변검사에서 혈액성분이 검출됩니다. 소변의 혈액성분은 비뇨기계의 염증이나 결석, 종양 등에 의해 나올 수 있으나, 소변채취시의 오류에 의해서도 발생할 수 있습니다. 재검사를 위해 내원하시기 바랍니다.</t>
  </si>
  <si>
    <t>소변검사 결과 백혈구가 검출됩니다. 소변에 백혈구가 검출되는 것은 비뇨기계의 염증이 있을 가능성을 시사하지만, 질병이 없이도 나오는 경우가 있습니다. 재검사를 위해 내원하시기 바랍니다.</t>
  </si>
  <si>
    <t>이번에 측정한 혈당검사 결과가 엄격한 공복 상태에서 채혈된 것이라면 당뇨병을 의심할 수 있습니다.  비만, 과다한 음식 섭취, 과도한 음주, 운동 부족 등은 당뇨를 유발하는 원인입니다. 내원하셔서 상담하시기 바랍니다.</t>
  </si>
  <si>
    <t>골밀도 검사상 골감소증에 해당합니다. 골다공증의 전단계로 체내 칼슘 소실이 지속되면 골다공증으로 진행될 수 있습니다. 칼슘이 많이 포함된 음식을 자주 섭취하시고, 싱겁게 드시는 습관이 필요합니다.</t>
  </si>
  <si>
    <t>난소암표지자(CA125)가 높게 나왔습니다. 그러나 반드시 난소암이 있을 때만 높아지는 것은 아니며 감기, 생리, 자궁근종, 자궁내막증, 임신, 골반염에서도 나타납니다. 내원하시어 상담하시거나 산부인과 진료를 권합니다.</t>
  </si>
  <si>
    <t>췌장암 표지자(CA19-9)가 높게나왔습니다.  췌장, 담도의 양성질환, 부인과 질환(난소낭종, 자궁근종), 간경변 등이 있을때도 경도 및 중등도로 상승하기도 합니다.  내원하시어 상담하시거나 소화기내과 진료를 권합니다.</t>
  </si>
  <si>
    <t>폐암과 관련된 검사 수치가 높습니다. 폐암이 있을때 증가하는 것으로 알려져 있지만, 일부 건강한 성인에서도 높은 수치를 보일수 있습니다. 추가적인 검사가 필요하므로 호흡기 내과 전문의와 상담하시기 바랍니다.</t>
  </si>
  <si>
    <t>치아우식증(충치) 예방치료가 필요합니다. 충치가 생기기 전에 치료하는 것이 치료기간을 줄일 수 있으며, 경제적이므로 가까운 치과를 방문하여 치료하시기 바랍니다.</t>
  </si>
  <si>
    <t>위내시경검사에서 역류성 식도염 소견입니다. 역류성 식도염은 위액이 식도로 역류되는 것을 말합니다. 속쓰림, 소화불량, 신물넘어오는 등의 증상이 있을 경우 치료를 요합니다.</t>
  </si>
  <si>
    <t>위내시경검사에서 비후성위염 소견입니다. 비후성위염은 위점막이 커지거나 두꺼워져는 형태의 위염을 말합니다. 속쓰림, 소화불량 등의 증상이 있을 경우 내원하여 치료 받으시기 바랍니다.</t>
  </si>
  <si>
    <t>위내시경검사에서 역류성위염 소견입니다. 역류성위염은 장액이 위장으로 역류되는것을 말합니다. 속쓰림, 소화불량, 신물이 넘어오는 등의 증상이 있을 경우 치료를 요합니다.</t>
  </si>
  <si>
    <t>위내시경검사에서 십이지장궤양을 앓았던 흔적이 있습니다. 속쓰림, 소화불량 등의 증상이 있다면 치료를 위해 내원하시기 바랍니다.</t>
  </si>
  <si>
    <t>위내시경 검사상 황색종이 발견됩니다. 황색종은 그 자체로는 문제가 없으나, 변화여부와 기타이상을 확인하기 위하여 정기적으로 내시경검사를 받아보시는 것이 필요합니다.</t>
  </si>
  <si>
    <t>위내시경검사에서 표재성위염 소견입니다. 표재성위염은 위의 표면에 가벼운 염증이 발생한 것으로 만성 위염의 첫 단계입니다. 속쓰림, 소화불량, 오심(구역질), 구토 등의 증상이 있을 경우 내원 치료 바랍니다.</t>
  </si>
  <si>
    <t>위내시경검사에서 미란성위염 소견입니다. 미란성위염은 위점막이 부어있거나, 출혈 소견을 보이는 것을 말합니다. 급성으로 나타나며 심한 스트레스, 음주, 소염진통제의 장기간 복용 등 약물에 의한 영향으로 발생할 수 있습니다.</t>
  </si>
  <si>
    <t>위내시경검사에서 위축성위염 소견입니다. 위축성위염은 위염에 의해 위벽이 위축되는 경우를 말합니다. 속쓰림 등의 증상 동반시 내원하여 치료 받으시고,  1년 단위로 내시경을 실시하는 것이 위암 조기진단을 위하여 바람직합니다.</t>
  </si>
  <si>
    <t>위내시경검사에서 출혈성위염 소견입니다. 출혈성 위염은 위에 출혈성향이 있고 위의 점막에 염증이 있는 경우를 말합니다. 속쓰림, 소화불량 등의 증상이 있을 경우 내원하여 치료 받으시기 바랍니다.</t>
  </si>
  <si>
    <t>위내시경검사에서 십이지장게실 소견입니다.  속쓰림, 소화불량, 신물이 넘어오는 등의 증상이 있을 경우 치료를 요합니다. 내원하시어 상담하시기 바랍니다.</t>
  </si>
  <si>
    <t>위내시경 조직검사에서 만성활동성 위염 소견입니다.  속쓰림, 소화불량, 신물이 넘어오는 등의 증상이 있을 경우 치료를 요합니다. 내원하시어 상담하시기 바랍니다.</t>
  </si>
  <si>
    <t>위내시경 조직검사결과 황색종 소견입니다. 황색종은 그 자체로는 문제가 없으나, 변화여부와 기타이상을 확인하기 위하여 정기적으로 내시경검사를 받아보시는 것이 필요합니다.</t>
  </si>
  <si>
    <t>위내시경 조직검사에서 십이지장궤양 소견입니다. 속쓰림, 소화불량 등의 증상이 있다면 치료를 위해 내원하시기 바랍니다.</t>
  </si>
  <si>
    <t>혈액검사상 호산구가 증가되어 있습니다. 호산구는 백혈구의 성분 중 하나로서 알레르기성 질환, 기생충 감염시 흔히 증가되며, 일반적인 감염성 질환에서도 증가됩니다만 정상인에서도 일시적으로 증가하는 경우도 있습니다.</t>
  </si>
  <si>
    <t>전립선암 표지자(PSA)가 높게 나왔습니다.  전립선염, 전립선비대증, 전립선촉진 등의 비뇨기과적 처치 등에 의해서 상승할 수도 있습니다.   내원하시어 상담하시거나 비뇨기과 진료를 권합니다.</t>
  </si>
  <si>
    <t>전립선 초음파 검사상 경도의 전립선 비대가 관찰됩니다. 빈뇨, 배뇨곤란 등의 증상이 있다면 비뇨기과 진료를 받아 보시기 바랍니다.</t>
  </si>
  <si>
    <t>복부초음파 검사에서 지방간 소견입니다. 지방간은 간에 지방성분이 쌓인 것으로 비만과 음주가 주요 원인입니다. 저지방식, 금주, 체중조절 등 적극적인 건강관리가 필요합니다.</t>
  </si>
  <si>
    <t>복부 초음파 검사에서는 간, 담낭, 췌장, 비장, 신장을 검사하였습니다. 귀하의 검사 소견은 다음과 같습니다. 복부초음파 검사에서 간질환이 의심됩니다. 내원하여 상담을 받으시기 바랍니다.</t>
  </si>
  <si>
    <t>복부 초음파 검사에서는 간, 담낭, 췌장, 비장, 신장을 검사하였습니다. 귀하의 검사 소견은 다음과 같습니다. 복부초음파 검사에서 담도결석이 의심됩니다. 내원하여 상담을 받으시기 바랍니다.</t>
  </si>
  <si>
    <t>복부 초음파 검사에서는 간, 담낭, 췌장, 비장, 신장을 검사하였습니다. 검사결과 기타 신장의 이상소견이 발견됩니다. 경미한 소견일수도 있으나 확진을 위하여 내원하시기 바랍니다.</t>
  </si>
  <si>
    <t>복부 초음파 검사에서는 간, 담낭, 췌장, 비장, 신장을 검사하였습니다. 복부초음파 검사결과 콩팥크기가 정상 보다 작게 측정되었습니다. 내원하여 상담을 받으시기 바랍니다.</t>
  </si>
  <si>
    <t>복부 초음파 검사에서는 간, 담낭, 췌장, 비장, 신장을 검사하였습니다. 복부초음파 검사결과 기타 비장의 이상 소견이 발견되었습니다. 경미한 소견일 수 있으나 확진을 위하여 내원하시기 바랍니다.</t>
  </si>
  <si>
    <t>복부 초음파 검사에서는 간, 담낭, 췌장, 비장, 신장을 검사하였습니다. 복부초음파 검사결과 비장의 크기가 약간 커 보입니다. 비장비대는 혈액이나 면역체계 또는 만성 간질환 등의 이상이 있을 때 나타날 수 있습니다.</t>
  </si>
  <si>
    <t>복부 초음파 검사에서는 간, 담낭, 췌장, 비장, 신장을 검사하였습니다. 복부초음파 검사결과 기타 췌장의 이상 소견이 발견되었습니다. 경미한 소견일 수 있으나 확진을 위하여 내원하시기 바랍니다.</t>
  </si>
  <si>
    <t>복부 초음파 검사에서는 간, 담낭, 췌장, 비장, 신장을 검사하였습니다. 복부초음파 검사 결과 간에 덩어리(종괴)를 의심케하는 소견이 나타납니다. 정밀검사를 위해 내원하여 상담하시기 바랍니다.</t>
  </si>
  <si>
    <t>복부 초음파 검사에서는 간, 담낭, 췌장, 비장, 신장을 검사하였습니다. 복부초음파 검사 결과 간에 간실질에 불규칙한 음영이 관찰됩니다. 간질환 치료중이 아니라면 내원하시어 상담 받으시기를 바랍니다.</t>
  </si>
  <si>
    <t>복부 초음파 검사에서는 간, 담낭, 췌장, 비장, 신장을 검사하였습니다. 복부초음파 검사에서 간경화증이 의심됩니다. 내원하여 상담을 받으시기 바랍니다.</t>
  </si>
  <si>
    <t>복부 초음파 검사에서는 간, 담낭, 췌장, 비장, 신장을 검사하였습니다. 복부초음파 검사 결과 췌장에 덩어리(종괴)를 의심케하는 소견이 나타납니다. 정밀검사를 위해 내원하여 상담하시기 바랍니다.</t>
  </si>
  <si>
    <t>복부 초음파 검사에서는 간, 담낭, 췌장, 비장, 신장을 검사하였습니다. 복부초음파 검사결과 기타 초음파상의 이상 소견이 발견되었습니다. 경미한 소견일 수도 있으나 확진을 위하여 내원하시기 바랍니다.</t>
  </si>
  <si>
    <t>간기능 검사상 혈중빌리루빈이 증가되었습니다. 황달을 나타내는 지표로서 간장,담도계질환 및 혈액질환시 상승할 수 있습니다. 추이의 변화를 관찰하기 위해 3개월 후 다시 검사를 받고 상담하시기 바랍니다.</t>
  </si>
  <si>
    <t>갑상선에 낭종(물혹)이 보입니다. 크기가 크거나(대개 1cm이상), 갑상선기능에 이상이 동반되었거나, 기타 변화가 생기는 경우에는 조직검사및 기타검사가 필요한 경우도 있으니, 주기적으로 검사를 받아보시기 바랍니다.</t>
  </si>
  <si>
    <t>갑상선이 제거된 상태입니다. 갑상선 호르몬 투여가 지속적으로 필요하며, 약을 드시면서 호르몬수치가 정상범위안에서 잘유지되는지 확인할 필요가 있습니다. 정기적으로 갑상선기능검사를 받아보시기 바랍니다.</t>
  </si>
  <si>
    <t>갑상선이 절반정도 제거된 상태입니다. 갑상선 호르몬수치가 잘유지되고 있다면 큰 문제는 없습니다. 주기적으로 갑상선 호르몬검사를 받아보시고, 약물요법이 필요한지 상담받으시기 바랍니다.</t>
  </si>
  <si>
    <t>갑상선 초음파결과상 갑상선의 크기가 작아보입니다(갑상선위축). 갑상선기능에 이상이 없다면 큰문제는 없지만, 추가적인 호르몬 검사가 필요할 수 있으니 내분비내과전문의와 상의해보시기를 권합니다.</t>
  </si>
  <si>
    <t>갑상선 초음파결과상 갑상선의 선종 또는 결절이 의심됩니다. 크기가 1cm보다 작은경우는 대부분 양성이지만, 주기적인 검사를 통해서 변화여부를 확인하는 것이 필요합니다. 내분비내과 전문의와 상의해 보시기를 권합니다.</t>
  </si>
  <si>
    <t>B형 간염보균상태입니다. 과음, 과로를 피하시고 주기적으로 간기능 검사와 초음파 검사를 받아보기 바랍니다.</t>
  </si>
  <si>
    <t>복부 초음파 검사에서는 간, 담낭, 췌장, 비장, 신장을 검사하였습니다. 그 결과 만성 간질환이 의심됩니다. 치료받는 중이 아니시라면 내원하여 상담을 받으시기 바랍니다.</t>
  </si>
  <si>
    <t>복부 초음파 검사에서는 간, 담낭, 췌장, 비장, 신장을 검사하였습니다. 복부초음파 검사에서 신질환이 의심됩니다. 내원하여 상담을 받으시기 바랍니다.</t>
  </si>
  <si>
    <t>소변검사에서 혈액성분이 검출됩니다. 소변의 혈액성분은 비뇨기계의 염증이나 결석, 종양 등에 의해 나올 수 있습니다. 원인규명을 위해 상담 및 진료가 필요합니다. 진료를 위해 내원하시기 바랍니다.</t>
  </si>
  <si>
    <t>의심 소견에 대하여 충분한 수면을 취하고 금주, 금연, 안정 이후에 혈압 재측정 바랍니다.</t>
  </si>
  <si>
    <t>간수치가 크게 상승하였습니다. 근무중 유해인자 노출이나 다른 원인에 의한 간담도계 질환이 의심됩니다. 정확한 진단 위하여 금주(3일), 금식(8시간) 이후 2차 검사 바랍니다.</t>
  </si>
  <si>
    <t>1,2-디클로로프로판 과폭로 의심</t>
  </si>
  <si>
    <t>1,2-디클로로프로판에 대한 생물학적 노출지표(요중 1,2-디클로로프로판) 검사 결과 노출 기준을 초과하여 과폭로가 의심됩니다. 업무시 보호구 착용을 철저히 하시기 바라며 재검사를 하시기 바랍니다.</t>
  </si>
  <si>
    <t>N,N-디메틸아세트아미드 과폭로 의심</t>
  </si>
  <si>
    <t>N,N-디메틸아세트아미드에 과폭로된 상태이므로. 보호구착용 철저히 하시고 2차 정밀검사 받으세요.</t>
  </si>
  <si>
    <t>암초기, 임신, 양성간질환 등에서 올라갈 수 있습니다. 추적관찰 및 초음파검사 받으세요.</t>
  </si>
  <si>
    <t>일산화탄소농도 상승 소견보입니다. 호흡곤란, 흉통, 심한두통 등의 증상 있을시 직업환경의학과 내원하십시요.</t>
  </si>
  <si>
    <t>톨루엔, 아세톤, 에틸벤젠, 크실렌은 노출의심됩니다. 2차 검진을 받으세요.</t>
  </si>
  <si>
    <t>톨루엔, 디에틸에테르, 메틸에틸케톤, 메틸이소부틸케톤, 아세톤, 크실렌에 대한 2차 검진받으세요.</t>
  </si>
  <si>
    <t>과로, 심한 운동 등으로 일시적으로 나타날 수도 있으나 비뇨기질환시에도 나올수 있으므로 추적검사를 위한 재검을 받으세요.</t>
  </si>
  <si>
    <t>혈액내 알부민 수치가 정상범위 보다 감소되어 있습니다. 알부민은 간에서 만들어지는 것으로 간에 질환이 있을 경우 알부민이 감소할 수 있으나, 자세한 내용은 추가적인 진찰과 검사가 필요할 수 있습니다. 내원상담바랍니다.</t>
  </si>
  <si>
    <t>혈액검사결과 혈중 단백질 수치가 증가하였습니다. 이는 일시적으로 증가되어있는 경우가 대부분으로, 임상적으로 큰의미는 없습니다. 다만 추후 정기검진시 수치변화를 확인하는 것이 필요합니다. 내원하시어 상담하시기 바랍니다.</t>
  </si>
  <si>
    <t>혈액검사결과 혈중 단백질 수치가 감소하였습니다. 단백질 수치 단독으로 감소가 되어있는 경우 대부분 임상적으로 큰의미는 없습니다만 질환과 관련되어지는 경우가 있으니, 내원하시어 상담받으시기 바랍니다.</t>
  </si>
  <si>
    <t>혈액내 알부민 수치가 정상범위 보다 증가되어 있습니다. 알부민은 간에서 만들어지는 것으로 증가한 것 자체가 질환을 의미하지는 않고 큰 의미를 두지 않으셔도 되겠습니다. 다만, 다른 검사결과에도 이상이 있을 경우는 내원상담바랍니다.</t>
  </si>
  <si>
    <t>알부민은 간 이외에는 합성이 되지 않습니다. 그렇기 때문에 간에 장애가 발생하면 혈액 중의 알부민은 바로 반응을 일으켜 현저히 감소되며, 증가의 경우 임상적으로 큰의미는 없습니다만 내원하시어 재검사 및 상담받으시기 바랍니다.</t>
  </si>
  <si>
    <t>조기정신증 증상 상담 필요, 병/의원(정신건강의학과)에서 진료를 받으십시오. 첫 진료비 지원은 별도 안내문 참조</t>
  </si>
  <si>
    <t>간수치 증가 소견이 있습니다. 비만, 음주, 지방간 등으로 상승할 수 있습니다. 절주, 체중감량 및 추적검사 바랍니다.</t>
  </si>
  <si>
    <t>흉부방사선 검사 결과 폐기종 소견이 확인됩니다. 관련 증상(기침, 가래, 객혈, 호흡곤란, 흉통 등)이 있을 경우 호흡기내과 진료를 받으시기 바랍니다.</t>
  </si>
  <si>
    <t>흉부방사선 검사 결과 폐기종 소견이 의심됩니다. 관련 증상(기침, 가래, 객혈, 호흡곤란, 흉통 등)이 있을 경우 호흡기내과 진료를 받으시기 바랍니다.</t>
  </si>
  <si>
    <t>흉부방사선 검사 결과 아분절성 무기폐 소견이 확인됩니다. 이는 폐실질의 공기가 빠져 나가 부분적으로 음영이 다르게 보이는 것을 말합니다. 관련 증상(기침, 가래, 객혈, 호흡곤란 등)이 있을 경우 호흡기내과 진료를 받으시기 바랍니다.</t>
  </si>
  <si>
    <t>흉부방사선 검사 결과 아분절성 무기폐 소견이 의심됩니다. 폐실질의 공기가 빠져 나가 부분적으로 음영이 다르게 보이는 것을 말합니다. 관련 증상(기침, 가래, 객혈, 호흡곤란 등)이 있을 경우 호흡기내과 진료를 받으시기 바랍니다.</t>
  </si>
  <si>
    <t>흉부방사선 검사 결과 흉막비후 소견이 확인됩니다. 늑막염, 결핵, 폐렴 등 염증을 앓았던 흔적으로 관찰될 수 있습니다. 특별한 증상이 없다면 경과 관찰하시고 다음 정기검진시 변화 여부를 확인하시기 바랍니다.</t>
  </si>
  <si>
    <t>흉부방사선 검사 결과 흉막비후 소견이 의심됩니다. 늑막염, 결핵, 폐렴 등 염증을 앓았던 흔적으로 관찰될 수 있습니다. 특별한 증상이 없다면 경과 관찰하시고 다음 정기검진시 변화 여부를 확인하시기 바랍니다.</t>
  </si>
  <si>
    <t>흉부방사선 검사 결과 기관지확장증 소견 확인됩니다. 감염 등의 이유로 기관지 벽이 손상을 받아 늘어난 상태를 말합니다. 관련 증상(기침, 가래, 객혈, 호흡곤란, 흉통 등)이 있을 경우 호흡기내과 진료를 받으시기 바랍니다.</t>
  </si>
  <si>
    <t>흉부방사선 검사 결과 기관지확장증 소견 의심됩니다. 감염 등의 이유로 기관지 벽이 손상을 받아 늘어난 상태를 말합니다. 관련 증상(기침, 가래, 객혈, 호흡곤란, 흉통 등)이 있을 경우 호흡기내과 진료를 받으시기 바랍니다.</t>
  </si>
  <si>
    <t>혈관에 의한 가성 병변, 늑골의 그림자일 수도 있으나, 폐렴, 결핵, 종양 등의 가능성을 배제할 수 없습니다. 흉부 CT 촬영을 통한 추적관찰 바랍니다.</t>
  </si>
  <si>
    <t>흉부방사선 검사 결과 척추측만증 소견 확인됩니다. 목 뒤, 어깨, 허리 통증 등 증상이 있을 경우 척추센터 진료를 받으시기 바랍니다.</t>
  </si>
  <si>
    <t>흉부방사선 검사 결과 폐렴 소견 확인됩니다. 관련 증상(기침, 가래, 객혈, 호흡곤란, 흉통 등)이 있을 경우 호흡기내과 진료를 받으시기 바랍니다.</t>
  </si>
  <si>
    <t>흉부방사선 검사 결과 폐렴 소견 의심됩니다. 관련 증상(기침, 가래, 객혈, 호흡곤란, 흉통 등)이 있을 경우 호흡기내과 진료를 받으시기 바랍니다.</t>
  </si>
  <si>
    <t>흉부방사선 검사 결과 기관지염 소견 확인됩니다. 관련 증상(기침, 가래, 객혈, 호흡곤란, 흉통 등)이 있을 경우 호흡기내과 진료를 받으시기 바랍니다.</t>
  </si>
  <si>
    <t>흉부방사선 검사 결과 기관지염 소견 의심됩니다. 관련 증상(기침, 가래, 객혈, 호흡곤란, 흉통 등)이 있을 경우 호흡기내과 진료를 받으시기 바랍니다.</t>
  </si>
  <si>
    <t>흉부방사선 검사 결과 석회화 결절 소견이 관찰됩니다. 이 병변은 과거 결핵, 폐의 감염성 질환 등이 지나간 흔적일 가능성이 높습니다. 경과관찰을 위하여 주기적으로 검사 받으시기 바랍니다.</t>
  </si>
  <si>
    <t>흉부방사선 검사 결과 석회화 결절 소견이 의심됩니다. 이 병변은 과거 결핵, 폐의 감염성 질환 등이 지나간 흔적일 가능성이 높습니다. 경과관찰을 위하여 주기적으로 검사 받으시기 바랍니다.</t>
  </si>
  <si>
    <t>흉부방사선 검사 결과 흉막 석회화 소견이 확인됩니다. 늑막염, 결핵, 폐렴 등 염증을 앓았던 흔적으로 관찰될 수 있습니다. 특별한 증상이 없다면 경과 관찰하시고 다음 정기검진시 변화 여부를 확인하시기 바랍니다.</t>
  </si>
  <si>
    <t>흉부방사선 검사 결과 흉막 석회화 소견이 의심됩니다. 늑막염, 결핵, 폐렴 등 염증을 앓았던 흔적으로 관찰될 수 있습니다. 특별한 증상이 없다면 경과 관찰하시고 다음 정기검진시 변화 여부를 확인하시기 바랍니다.</t>
  </si>
  <si>
    <t>복부비만은 고혈압, 고지혈증, 심혈관계질환의 원인이 될 수 있습니다. 식사감량과 규칙적인 운동으로 체중을 줄이세요.</t>
  </si>
  <si>
    <t>골밀도 검사 결과, (요추/대퇴골)에서 골다공증 소견입니다. (최저 T-score: ) 골절 예방을 위해 약물 치료와 규칙적인 운동 등 생활습관 관리가 필요하며, 내분비내과 진료를 권장합니다.</t>
  </si>
  <si>
    <t>정신건강평가검사(우울증,만 40세) 대상자</t>
  </si>
  <si>
    <t>정신건강평가검사(우울증,만 66세) 대상자</t>
  </si>
  <si>
    <t>신장 질환의 초기 징후일수 있으므로 부종 등이 동반되는 경우 진료 받으시고, 증상 없을시 추적검사 하시기 바랍니다.</t>
  </si>
  <si>
    <t>췌장암 표지자(CA19-9)가 높게나왔습니다. 당뇨병, 췌장, 담도의 양성질환, 부인과 질환(난소낭종, 자궁근종), 간경변 등이 있을때도 경도 및 중등도로 상승하기도 합니다. 종합적인 판단을 위해 소화기내과 진료를 받으시기 바랍니다.</t>
  </si>
  <si>
    <t>추가 검사(Treponemal test)로 확인한 결과는 음성입니다. VDRL 결과는 위양성에 해당하고, 특이사항이 없는 것으로 정상 소견입니다.</t>
  </si>
  <si>
    <t>혈중지질검사에서 HDL 콜레스테롤 수치 감소 소견이 있습니다. 이상지질혈증으로 진행할 수 있으므로 생활습관교정(운동, 체중조절, 금연, 절주 등)과 식이조절로 관리하시고 정기적으로 검사를 받으시기 바랍니다.</t>
  </si>
  <si>
    <t>혈중지질검사에서 총콜레스테롤, LDL 콜레스테롤 증가 소견 확인됩니다. 내분비내과 진료를 받으시기 바랍니다.</t>
  </si>
  <si>
    <t>혈중지질검사에서 총콜레스테롤, LDL 콜레스테롤 증가 및 HDL 콜레스테롤 감소 소견 확인됩니다. 내분비내과 진료를 받으시기 바랍니다.</t>
  </si>
  <si>
    <t>혈중지질검사에서 중성지방, LDL 콜레스테롤 증가 및 HDL 콜레스테롤 감소 소견 확인됩니다. 내분비내과 진료를 받으시기 바랍니다.</t>
  </si>
  <si>
    <t>혈중지질검사에서 중성지방 증가 및 HDL 콜레스테롤 감소 소견 확인됩니다. 이상지질혈증으로 진행할 수 있으므로 생활습관교정(운동, 체중조절, 금연, 절주 등)과 식이조절로 관리하시고 정기적으로 검사를 받으시기 바랍니다.</t>
  </si>
  <si>
    <t>소변검사 결과 백혈구가 검출됩니다. 비뇨기계의 염증이 있을 가능성을 시사하지만, 심각한 질병이 없이도 나오는 경우가 있습니다. 소변검사를 다시 받아 보시기 바랍니다.</t>
  </si>
  <si>
    <t>소변검사에서 혈액성분이 검출됩니다. 소변의 혈액성분은 비뇨기계의 염증이나 결석, 종양 등에 의해 나올 수 있으나, 소변채취시의 오류에 의해서도 발생할 수 있습니다.  소변 검사를 다시 받고 내원하셔서 상담하시기 바랍니다.</t>
  </si>
  <si>
    <t>혈액검사상 호산구가 감소되어 있습니다. 호산구는 백혈구의 성분 중 하나로서 알레르기성 질환, 기생충 감염시 흔히 증가되며, 일반적인 감염성 질환에서도 증가됩니다만 정상인에서는 일시적으로 감소하는 경우도 있습니다.</t>
  </si>
  <si>
    <t>혈중 아밀라제치가 상승했습니다. 췌장염에 의해 상승할 수 있지만 식후 채혈이나 용혈 등의 상황에 의해서도 높게 나올 수 있습니다. 오심, 복통 등의 신체적 이상이 있는 경우 내과 진료를 받아보시기 바랍니다.</t>
  </si>
  <si>
    <t>혈액검사 결과 아밀라아제 수치가 감소되었습니다. 이효소는 구강, 식도, 췌장 등 여러장기에서 분비되는 효소로 감소되는 원인이 다양합니다. 복통, 소화장애 등의 신체적 증상이 있는 경우 소화기 내과의 진료가 필요합니다.</t>
  </si>
  <si>
    <t>콜린에스테라제 수치가 낮게 나타났습니다. 이는 유기인계농약중독이나 간질환, 종양 등에서 나타날 수 있는소견이나, 과도한 운동등에 의해서도 나타날 수 있으므로 정확한 진단을 위하여 내원 상담하시기 바랍니다.</t>
  </si>
  <si>
    <t>콜리네스테라제 수치가 높게 나타났습니다. 이는 비만이나 알콜성 지방간, 갑상선기능 항진증 등에서 나타날 수 있는소견입니다. 정확한 진단을 위하여 내원상담하시기 바랍니다.</t>
  </si>
  <si>
    <t>간기능 검사상 혈중빌리루빈이 증가되었습니다. 황달을 나타내는 지표로서 간장,담도계질환 및 혈액질환시 상승할 수 있습니다. 추이의 변화를 관찰하기 위해 1개월이내에 다시 검사를 받고 상담하시기 바랍니다.</t>
  </si>
  <si>
    <t>직접빌리루빈은 간에서 글루크론산 포합을 받은 빌리루빈으로서, 담즙 울혈 및 정체시에 혈중에서 상승하게 되며 수용성이기 때문에 요중에도 배설됩니다. 내원하시어 상담받으시기 바랍니다.</t>
  </si>
  <si>
    <t>알부민과 결합한 간접빌리루빈은 뇌조직이나 지방에 대한 친화성이 강한데 보통때는 나타나지 않습니다. 대부분 임상적 의미가 없으나, 1개월내에 내원하시어 재검사 받으시고 상담받으시기 바랍니다.</t>
  </si>
  <si>
    <t>혈액내 인성분이 감소하였습니다. 소화흡수 장애, 과도한 음주 등 신진대사에 이상이 있는 경우 나타날 수 있으나 대부분은 일시적인 현상으로 나타납니다. 특별히 치료가 필요한 수준은 아니나, 근골격계 이상 증상이 있다면 내과 진료를 받아보시기 바랍니다.</t>
  </si>
  <si>
    <t>혈액내 칼슘성분이 감소하였습니다. 신진대사에 이상이 있는 경우 감소할 수 있으나 일시적인 현상일 가능성도 있습니다. 근육 경련, 기억력 변화 등의 증상이 있다면 내과 진료를 받으시기 바랍니다.</t>
  </si>
  <si>
    <t>전립선특이항원(PSA)의 상승 소견 입니다. 전립선특이항원은 전립선암뿐만 아니라 전립선 비대증, 전립선염, 전립선 경색 등에서도 증가할 수 있으며 정확한 진단과 치료를 위해 비뇨기과 진료 바랍니다.</t>
  </si>
  <si>
    <t>임신 기간 중 검진으로 체중, 체질량지수, 허리둘레 평가 불가능합니다. 다음 검사시에 추적관찰 바랍니다.</t>
  </si>
  <si>
    <t>요중 2,5-헥산디온 미수검</t>
  </si>
  <si>
    <t>퇴사,요양등의 사유로 검사불가</t>
  </si>
  <si>
    <t>퇴사, 요양 등의 사유로 생체시료검사 불가</t>
  </si>
  <si>
    <t>임신 기간 중 검진으로 체중, 체질량지수, 허리둘레, 흉부방사선 평가 불가능합니다. 다음 검사시에 추적관찰 바랍니다.</t>
  </si>
  <si>
    <t>말초혈액도말검사에서 저색소성 소혈구성 빈혈입니다. 철결핍 빈혈 의심되며 원인으로는 철분섭취 부족, 월경 과다, 출혈 등이 있을 수 있습니다. 기타 특이 소견은 없습니다. 원인 질환 치료와 철분 섭취하고 추적 관찰 바랍니다.</t>
  </si>
  <si>
    <t>위장조영검사 결과 정상입니다. 속쓰림, 소화불량 등의 증상이 없으면 2년 후 정기검사 받으시기 바랍니다.</t>
  </si>
  <si>
    <t>복부초음파 검사상 중복요관이 관찰됩니다. 중복요관은 비교적 흔한 요로계 기형 중 하나입니다. 말 그대로 한쪽에 두개의 요관이 있는 것으로, 단순한 중복요관일 경우 별 문제가 발생하지는 않습니다.</t>
  </si>
  <si>
    <t>복부초음파 검사상 마제신이 관찰됩니다. 마제신은 신장의 선천적 기형으로 증상이 없는 경우 특별한 치료가 필요하지 않습니다. 하지만, 수신증이나 신장결석과 같은 질환이 일어날 수 있기 때문에 주기적인 검사가 필요합니다.</t>
  </si>
  <si>
    <t>갑상선호르몬 검사 결과, 갑상선자극호르몬 수치의 경미한 상승 보입니다. 일시적 상승일 수도 있으나, 더위불내성, 두근거림 등의 증상 있을 경우 갑상선기능항진 가능성, 또는 피로감, 체중 증가 등의 증상 있을 경우 갑상선기능저하증 등의 질환의 가능성이 있으니 추적검사 바랍니다.</t>
  </si>
  <si>
    <t>복부초음파 검사상 간이 거칠게 보입니다. 만성간질환에서 보일 수 있는 소견으로, 정기적인 추적검사 받으시기 바랍니다.</t>
  </si>
  <si>
    <t>복부초음파 검사상 간경화의 소견이 관찰됩니다. 간경화란 만성 염증에 의해 간이 점점 작아지고 단단해지는 상태를 말합니다. 향후 이에 대한 치료 및 경과 관찰이 필요하오니, 의료기관을 방문하시어 진료를 받으시기 바랍니다.</t>
  </si>
  <si>
    <t>복부초음파 검사상 간에 석회화 침착이 있습니다. 이는 암과는 관련 없는 소견으로 특별한 치료가 필요 없으며, 정기적인 추적검사 받으시기 바랍니다.</t>
  </si>
  <si>
    <t>복부초음파 검사상 혈관종으로 의심되는 소견이 관찰됩니다. 혈관종은 간에 발생하는 가장 흔한 양성종양이며, 특별한 치료가 필요하지 않습니다. 그러나 처음 발견되신 경우에는 확진을 위한 추가 검사가 필요합니다.</t>
  </si>
  <si>
    <t>복부초음파 검사상 비장이 커져 있습니다. 비장의 비대는 다른 질병이 있을 경우에도 발생할 수 있으므로, 이에 대한 추가 검사 혹은 경과 관찰이 필요합니다. 의료기관을 방문하시어 진료를 받으시기 바랍니다.</t>
  </si>
  <si>
    <t>복부초음파 검사상 담낭에 담석이 있습니다. 증상이 없으시면 특별한 치료가 필요없지만, 관련된 증상이 의심되는 경우에는 의료기관을 방문하시어 진료상담 받으시고, 특별한 증상이 없는 경우에는 정기적인 추적검사 받으시기 바랍니다.</t>
  </si>
  <si>
    <t>복부초음파 검사상 담낭 용종이 있습니다. 용종의 크기가 작은 경우에는 특별한 치료가 필요하지 않습니다. 그러나 용종이 자라는 경우에 치료가 필요할 수 있으므로, 정기적인 추적검사 받으시기 바랍니다.</t>
  </si>
  <si>
    <t>복부초음파 검사상 다발성 콜레스테롤 용종이 있습니다. 용종의 크기가 작은 경우에는 특별한 치료가 필요하지 않습니다. 그러나 용종이 자라는 경우에 치료가 필요할 수 있으므로, 정기적인 추적검사 받으시기 바랍니다.</t>
  </si>
  <si>
    <t>복부초음파 검사상 신장에 결석이 있습니다. 증상이 없으시면 특별한 치료가 필요없지만, 관련된 증상이 의심되는 경우에는 의료기관을 방문하시어 진료상담 받으시고, 특별한 증상이 없는 경우에는 정기적인 추적검사 받으시기 바랍니다.</t>
  </si>
  <si>
    <t>복부초음파 검사상 담관이 약간 늘어난 소견이 있습니다. 담관은 간에서 만들어진 담즙이 흐르는 통로로서, 연령에 따라 일부 확장될 수 있으나, 다른 질병에 의해서도 담관이 늘어날 수 있습니다. 정기적인 추적검사 받으시기 바랍니다.</t>
  </si>
  <si>
    <t>복부초음파 검사상 간내 담관에 담석이 있습니다. 간내 담관은 간에서 만들어진 담즙이 분비되는 간 내부의 통로로서, 담석이 있는 경우 반드시 치료가 필요합니다. 이에 대해 의료기관을 방문하시어 진료를 받으시기 바랍니다.</t>
  </si>
  <si>
    <t>복부초음파 검사상 수신증이 관찰됩니다. 신장의 병변이나 요로계 결석, 요도의 협착 등이 흔한 원인입니다. 소변량의 변화, 옆구리 통증, 감염증 등이 있을시 추가적인 검사가 필요하오니 의료기관을 방문하시어 진료상담을 받으시기 바랍니다.</t>
  </si>
  <si>
    <t>복부초음파 검사상 췌장염이 관찰됩니다. 음주와 담석질환, 고지혈증 등이 흔한 원인입니다. 복부 통증, 메스꺼움과 구토 증상, 황달 등이 있을시 추가적인 검사가 필요하오니 의료기관을 방문하시어 진료상담을 받으시기 바랍니다.</t>
  </si>
  <si>
    <t>복부초음파 검사상 췌장관이 약간 늘어난 소견이 있습니다. 췌장관은 연령에 따라 일부 확장될 수 있으나, 다른 질병에 의해서도 늘어날 수 있습니다. 추가 검사가 필요하므로 의료기관을 방문하시어 진료를 받으시기 바랍니다.</t>
  </si>
  <si>
    <t>복부초음파 검사상 간종대가 관찰됩니다. 원인은 심부전, 정맥의 울혈, 담즙정체, 간염, 간경변, 지방간, 종양, 낭종 등 여러가지가 있습니다. 관련된 증상이 의심되는 경우에는 의료기관을 방문하시어 진료상담 받으시기 바랍니다.</t>
  </si>
  <si>
    <t>복부초음파 검사상 경도의 지방간이 관찰됩니다. 음주, 비만, 고지혈증, 당뇨병 등에 의해 나타날 수 있으며 음주제한 및 식이요법, 운동요법을 권합니다.</t>
  </si>
  <si>
    <t>복부초음파 검사상 중증도의 지방간이 관찰됩니다. 음주, 비만, 고지혈증, 당뇨병 등에 의해 나타날 수 있으며 음주제한 및 식이요법, 운동요법을 권합니다. 정기적으로 검사를 하세요.</t>
  </si>
  <si>
    <t>복부초음파 검사상 고도의 지방간이 관찰됩니다. 음주, 비만, 고지혈증, 당뇨병 등에 의해 나타날 수 있으며 음주제한 및 식이요법, 운동요법을 권합니다. 간혹 간경변증까지 진행되는 경우가 있으니 주의 바라며, 추적검사 요합니다.</t>
  </si>
  <si>
    <t>복부초음파 검사상 급성 담낭염이 관찰됩니다. 대부분 담석에 의해 발생하며 감염, 외상, 선천성 기형, 당뇨병 등과 관계가 있습니다. 오른쪽 윗배에 통증, 오심, 구토, 미열 등의 증상이 의심되는 경우에는 의료기관을 방문하시어 진료상담 받으시기 바랍니다.</t>
  </si>
  <si>
    <t>복부초음파 검사상 만성 담낭염이 관찰됩니다. 담석, 감염 등에 의해 발생하며, 갑작스런 우상복부 통증, 오른쪽 어깨까지 뻗치는 통증 등의 증상이 의심되는 경우에는 의료기관을 방문하시어 진료상담 받으시기 바랍니다.</t>
  </si>
  <si>
    <t>복부초음파 검사상 담관에 담석이 있습니다. 담관은 간에서 만들어진 담즙이 분비되는 통로로서, 담석이 있는 경우 담관염 등의 합병증이 생길 수 있습니다. 이에 대한 치료가 필요하오니 의료기관을 방문하시어진료를 받으시기 바랍니다.</t>
  </si>
  <si>
    <t>복부초음파 검사상 담낭에 결석이 있습니다. 증상이 없으시면 특별한 치료가 필요없지만, 관련된 증상이 의심되는 경우에는 의료기관을 방문하시어 진료상담 받으시고, 특별한 증상이 없는 경우에는 정기적인 추적검사 받으시기 바랍니다.</t>
  </si>
  <si>
    <t>복부초음파 검사상 담낭염이 관찰됩니다. 대부분 담석에 의해 발생하며 감염, 외상, 선천성 기형, 당뇨병 등과 관계가 있습니다. 우상복부 통증, 오심, 구토, 미열 등의 증상이 의심되는 경우에는 의료기관을 방문하시어 진료상담 받으시기 바랍니다.</t>
  </si>
  <si>
    <t>복부초음파 검사상 다낭성신종이 관찰됩니다. 다낭성신종은 많은 수의 낭종이 정상 신장조직을 대체하는 유전질환으로 고혈압, 혈뇨, 출혈, 결석, 방광이나 신장의 감염, 신부전 등의 합병증을 유발할 수 있습니다. 의료기관을 방문하시어 진료상담 받으시기 바랍니다.</t>
  </si>
  <si>
    <t>복부초음파 검사상 담낭의 선근종증이 관찰됩니다. 선근종증은 대부분 양성소견이며, 증상이 없는 경우에는 치료가 필요하지 않습니다. 하지만 통증이 있거나 담석과 동반된 경우는 치료가 필요하오니 소화기내과에서 진료상담 받으시기 바랍니다.</t>
  </si>
  <si>
    <t>복부 초음파 검사에서는 간, 담낭, 췌장, 비장, 신장을 검사하였습니다. 복부초음파 검사 결과 담낭에 덩어리(종괴)를 의심케하는 소견이 나타납니다. 정밀검사를 위해 내원하여 상담하시기 바랍니다.</t>
  </si>
  <si>
    <t>PSA(전립선특이항원)상승으로 추적검사 및 비뇨기과 진료 요합니다. (PSA는 전립선염, 전립선비대증, 전립선암 등에서 상승할 수 있습니다.)</t>
  </si>
  <si>
    <t>대변잠혈반응 검사 결과 양성입니다. 대장에 병변(염증, 용종, 암 등)이 있을 가능성이 있으므로 검사를 반드시 받아보시기 바랍니다.</t>
  </si>
  <si>
    <t>경동맥 초음파 검사 결과 갑상선염 등 갑상선 질환 의심 소견 확인됩니다. 하지만 현재 갑상선기능검사 특이소견이 없으므로 현재 별도의 치료를 요하지 않습니다. 갑상선 주위 통증, 불편감 등 관련 증상이 없다면 경과 관찰하시고 1년 추적검사 받으시기 바랍니다.</t>
  </si>
  <si>
    <t>속쓰림의 증상이 있을 경우 약물치료가 필요하며 체중감소, 높은베게(4-6cm 높이)의 사용이 도움이 됩니다. 흡연, 고지방음식, 커피, 쵸콜릿, 술, 오렌지쥬스, 과식을 피하는 것이 좋습니다.</t>
  </si>
  <si>
    <t>위내시경 검사에서 (역류성식도염, 미란성 위염, 위축성 위염, 장상피화생, 만성표재성위염, 위용종)이 관찰되어 시행한 조직검사상 (  )으로 밝혀졌습니다. 이는 양성소견으로 정기적으로 위내시경을 받기 바랍니다.</t>
  </si>
  <si>
    <t>위내시경 검사에서 식도 극세포증(가시세포증)이 관찰됩니다. 이는 식도 벽에 붙어있는 흰색의 매끈한 융기성 병변들을 뜻하는 것으로서, 식도를 덮고 있는 편평상피세포의 과증식으로 인해 발생한 변형의 일종입니다. 특별한 치료는 필요치 않고 경과관찰을 하는 것으로 충분합니다.</t>
  </si>
  <si>
    <t>위내시경 검사에서 황색종이 관찰됩니다. 이는 점막의 일부가 국소적으로 기름이 낀듯이 노란 덩어리처럼 보이는 것으로서, 특별한 치료는 필요없습니다.</t>
  </si>
  <si>
    <t>위내시경 검사에서 위식도 접합부에 보초 용종이 관찰됩니다. 위산 역류를 악화 시키는 음주, 흡연, 과식, 기름진 음식, 카페인 음료, 초콜릿 등을 피하시기 바랍니다.</t>
  </si>
  <si>
    <t>위내시경 검사에서 말로리-바이스 증후군이 관찰됩니다. 이는 심한 구역질, 구토 시 위식도 접합부에 상처가 난 것으로 대부분 자연 지혈 및 치유 되나 일부 치료가 필요할 수 있으므로 소화기 내과에서 경과 관찰 하십시오.</t>
  </si>
  <si>
    <t>위내시경 검사에서 십이지장염이 관찰됩니다. 속쓰림 등의 증상이 있으면 약물치료를 받고, 없으면 정기적으로 내시경 검사를 받기 바랍니다.</t>
  </si>
  <si>
    <t>위내시경 검사에서 식도 열공 탈장이 관찰됩니다. 이는 식도의 일부가 흉곽 내로 탈장된 것으로 복압의 증가, 식도의 단축, 식도의 고정부위 약화 등이 그 원인이 되면, 역류성 식도염을 유발할 수 있습니다.</t>
  </si>
  <si>
    <t>위내시경 검사에서 십이지장에 게실이 관찰됩니다. 이는 점막이 약해지면서 일부가 함몰되어 생긴 작은 주머니 모양의 구조를 뜻하며, 과거 십이지장 궤양의 흔적으로 발생할 수 있습니다. 관련 증상이 없다면 경과 관찰 하십시오.</t>
  </si>
  <si>
    <t>위내시경 검사에서 십이지장 점막하종양(혹, cm)이 관찰됩니다. 이는 점막 밑에서 근육이나 지방이 뭉쳐 생긴 작은 덩어리인 경우가 많습니다. 1cm 미만의 경우 대부분 양성이나, 드물게 천천히 커지는 경우도 있어, 경과관찰을 위하여 1년 후 위내시경검사를 받으시기 바랍니다.</t>
  </si>
  <si>
    <t>위내시경 검사에서 십이지장 점막하종양(혹, cm)이 관찰됩니다. 추가 상담을 위해 소화기내과 진료를 받으시기 바랍니다.</t>
  </si>
  <si>
    <t>위내시경 검사에서 음식물이 남아있어 검사를 시행하지 못했습니다. 음식물이 있는 경우 관찰에 제한이 있으며, 음식물이 기도로 넘어가서 흡인성 폐렴의 위험이 있습니다. 다른 날에 충분히 금식한 후 위내시경 검사를 다시 받으시기 바랍니다.</t>
  </si>
  <si>
    <t>위내시경 검사에서 식도에 게실이 관찰됩니다. 이는 점막이 약해지면서 일부가 함몰되어 생긴 작은 주머니 모양의 구조를 뜻하는데, 대부분 증상도 없고, 특별한 치료를 필요로 하지 않는 경우가 대다수 입니다.</t>
  </si>
  <si>
    <t>위내시경 검사에서 식도점막하 종양(혹, cm)이 관찰됩니다. 1cm 미만의 점막하 종양은 대부분 점막 밑에서 근육이나 지방이 뭉쳐 생긴 작은 덩어리인 경우로 양성일 가능성이 높습니다. 경과관찰을 위하여 1년 뒤 추적 위내시경검사를 받으시기 바랍니다.</t>
  </si>
  <si>
    <t>위내시경 검사에서 식도점막하 종양(혹, cm)이 관찰됩니다. 초음파 내시경을 통한 정밀검사 필요하므로 소화기내과 진료를 받으시기 바랍니다.</t>
  </si>
  <si>
    <t>위내시경 검사에서 미란성(점막이 벗겨진) 위염이 관찰됩니다. 미란을 발생시키는 원인인 흡연, 음주, 자극적 식사, 스트레스 등이 있으면 이를 피하시고, 속 쓰림, 소화불량 등의 관련 증상이 있는 경우 약물치료를 받으시기 바랍니다.</t>
  </si>
  <si>
    <t>위 유문에 표재성 발적과 흰색 결절성 점막 변화가 동반된 위축성 위염이 관찰됩니다. 속쓰림, 소화불량 등의 증상이 있으면 약물 치료를 받고, 없더라도 일반인에 비하여 위암의 발병 가능성이 높을 수 있으므로 매년 내시경 검사를 받으시기 바랍니다.</t>
  </si>
  <si>
    <t>위내시경 검사에서 출혈성 위염 소견이 있습니다. 출혈성 위염이란 위점막에 출혈 반점이 있는 것을 뜻하며, 소염진통제 같은 약물, 자극성이 강한 음식 등이 원인일 수 있습니다. 증상이 있다면 약물 치료 및 식습관 개선하시고 정기검진 하십시오.</t>
  </si>
  <si>
    <t>위내시경 검사에서 활동기의 위궤양이 관찰되며, 헬리코박터균 검사 결과 양성입니다. 궤양 및 제균치료와 추적 위내시경 검사가 필요하니 소화기내과 진료를 받으시기 바랍니다.</t>
  </si>
  <si>
    <t xml:space="preserve">위내시경에서 바렛 식도가 관찰됩니다. 위식도 역류 등으로 식도가 자극을 받아 식도의 상피세포가 위이나 장의 상피세포인 원주세포로 바뀌는데 이를 바렛 식도라고 합니다. 규칙적인 식사, 절주, 금연이 필요합니다. </t>
  </si>
  <si>
    <t>위내시경에서 이소성 췌장이 관찰됩니다. 이는 췌장조직의 일부가 위-십이지장에 들어와 작은 종괴를 형성하고 있는 것으로, 증상이 없다면 특별한 치료가 필요하지는 않습니다. 경과관찰을 하시기 바랍니다.</t>
  </si>
  <si>
    <t>위내시경 검사에서 이형성 의심 부위 관찰됩니다. 이형성은 추후 악성으로 진행 가능성이 있다고 생각되는 모양이며, 이런 경우에는 조직검사에서 양성 소견이 나왔어도 좀 더 자주 내시경 검사를 받을 필요가 있습니다. 소화기내과 진료 받으십시오.</t>
  </si>
  <si>
    <t>유방 초음파 검사 결과 유방 낭종 소견 확인됩니다. 단순 유방 낭종은 양성 병변으로 유방암과의 관련성이 낮습니다. 특별한 증상이 없다면 경과 관찰하시고, 변화를 확인하기 위해 정기적으로 추적검사 받으시기 바랍니다.</t>
  </si>
  <si>
    <t>유방 초음파 검사 결과 유방 결절 소견 확인됩니다. 특별한 증상이 없다면 경과 관찰하시고, 변화를 확인하기 위해 외과 통해 추적검사 받으시기 바랍니다.</t>
  </si>
  <si>
    <t>유방초음파 검사 결과 경계가 불규칙한 낭종 소견 확인됩니다. 특별한 증상이 없다면 경과 관찰하시고, 변화를 확인하기 위해 외과 통해 추적검사 받으시기 바랍니다.</t>
  </si>
  <si>
    <t>(유방초음파) 결절, 경계 불규칙한 낭종 - 진료권고</t>
  </si>
  <si>
    <t>유방초음파 검사 결과 결절 및 경계가 불규칙한 낭종 소견 확인됩니다. 특별한 증상이 없다면 경과 관찰하시고, 변화를 확인하기 위해 외과 통해 추적검사 받으시기 바랍니다.</t>
  </si>
  <si>
    <t>유방초음파 검사 결과 격막성 낭종 소견 확인됩니다. 특별한 증상이 없다면 경과 관찰하시고, 변화를 확인하기 위해 외과 통해 추적검사 받으시기 바랍니다.</t>
  </si>
  <si>
    <t>유방초음파 검사 결과 유방에 보형물이 삽입되어 있습니다. 유방 및 액와부에 이상 소견은 보이지 않으나, 보형물로 인해 평가가 제한적입니다.</t>
  </si>
  <si>
    <t>유방 초음파 검사 결과 유방 결절 소견 확인됩니다. 특별한 증상이 없다면 경과 관찰하시고, 변화를 확인하기 위해 외과를 통해 추적검사 받으시기 바랍니다.</t>
  </si>
  <si>
    <t>당화혈색소 검사(HbA1c) 결과, 당화혈색소 상승 소견 보입니다. 당화혈색소는 최근 3개월 이내의 평균적인 혈당 수치를 반영합니다. 당뇨병의 가능성에 대해 내분비내과 진료 상담 받으시기 바랍니다.</t>
  </si>
  <si>
    <t>▶ 심장초음파 검사 결과 좌심방 비대 소견 확인됩니다. 부정맥, 심장 판막 질환, 고혈압성 변화 등 여러가지 원인으로 크기가 커지거나 벽이 두꺼워지는 변화가 나타날 수 있습니다. 정확한 진단을 위해 순환기내과 진료를 받으시기 바랍니다.</t>
  </si>
  <si>
    <t>▶ 심장 초음파 검사에서 기저 심실중격 비후 소견이 관찰됩니다. 고령 및 고혈압 환자에서 흔하게 보일 수 있는 소견입니다. 호흡곤란, 흉통 등 특별한 증상이 없다면 경과관찰 하시고, 혈압 관리에 유의하시기 바랍니다.</t>
  </si>
  <si>
    <t>▶ 심초음파 검사에서 대동맥 확장 소견이 관찰됩니다. 혈압을 철저하게 관리하시고, 또한 흡연, 콜레스테롤 등 심혈관질환의 위험인자에 유의하십시오. 1년 후 추적 초음파 검사를 받으시기 바랍니다.</t>
  </si>
  <si>
    <t>▶ 심초음파 검사에서 경도의 대동맥판막 역류가 관찰됩니다. 호흡곤란, 흉통 등 특별한 증상이 없다면 경과관찰 하시고, 주기적인 추적 검사를 받으십시오.</t>
  </si>
  <si>
    <t>▶ 심초음파 검사에서 대동맥판막 역류가 관찰됩니다. 정기적인 추적 관찰이 필요하며, 추가적인 치료를 요할 수 있으니 심장내과 진료를 받으십시오.</t>
  </si>
  <si>
    <t>▶ 심초음파 검사에서 경도의 대동맥판막 협착이 관찰됩니다. 호흡곤란, 흉통 등 특별한 증상이 없다면 경과관찰 하시고, 주기적인 추적 검사를 받으십시오.</t>
  </si>
  <si>
    <t>▶ 심초음파 검사에서 대동맥판막 협착이 관찰됩니다. 정기적인 추적 관찰이 필요하며, 추가적인 치료를 요할 수 있으니 심장내과 진료를 받으십시오.</t>
  </si>
  <si>
    <t>▶ 심초음파 검사상 발살바동(대동맥과 좌심실이 연결되는 대동맥의 얇은 막)이 확장된 소견입니다. 병적으로 확장된 경우가 아니면 대부분 문제가 되지 않습니다. 만일 갑작스러운 호흡곤란이나 흉통, 호흡곤란 등의 증상이 있다면 심장내과 진료 바랍니다.</t>
  </si>
  <si>
    <t>▶ 심초음파 검사에서 경도의 승모판막 역류가 관찰됩니다. 호흡곤란 등 특별한 증상이 없다면 경과관찰 하시고, 주기적인 추적 검사를 받으십시오.</t>
  </si>
  <si>
    <t>▶ 심초음파 검사에서 좌심실의 경미한 이완장애 패턴이 관찰되는데, 바로 치료가 필요한 상태는 아닙니다. 향후 심장에 대한 추가부담을 줄이기 위하여 정상체중, 적정혈압(120/80mmHg 이하) 유지, 싱겁게 먹는 식습관, 규칙적인 유산소운동이 도움이 됩니다.</t>
  </si>
  <si>
    <t>▶ 심장초음파 검사 결과 좌심방 확장 소견 확인됩니다. 부정맥, 심장 판막 질환, 고혈압성 변화 등 여러가지 원인으로 심방이 커지는 변화가 나타날 수 있습니다. 정확한 진단을 위해 순환기내과 진료를 받으시기 바랍니다.</t>
  </si>
  <si>
    <t>염증 증상(분비물과다, 냄새, 가려움) 있을시 산부인과진료 받으세요</t>
  </si>
  <si>
    <t>추적검사 및 소화기 내과진료 요합니다.(CA19-9는 췌장암,  담낭담관암, 위암, 대장암에서 상승할 수 있으며, 만성췌장염, 담석증, 만성간염, 간경변증, 당뇨병에서도 상승할 수 있습니다.)</t>
  </si>
  <si>
    <t>교원병, 감염, 혈액, 소화기, 신장 질환 등에서 상승하며 병변의 발견, 추적에 이용됩니다. 추적검사 요합니다.</t>
  </si>
  <si>
    <t>대장내시경검사 결과는 비특이적인 대장염입니다. 특별한 치료는 필요치 않으나, 설사가 지속되거나 출혈이 동반되는 경우는 소화기내과진료를 받으세요.</t>
  </si>
  <si>
    <t>대장내시경 검사상 베체트병의 소화관 침범이 의심됩니다. 베체트병은 만성적이고 반복적인 전신 질환으로 구강, 비뇨생식기, 눈, 소화관, 점막 등 여러 장기를 침범하는 질환입니다. 적절한 검사 및 치료를 위해 의료기관을 방문하시어 진료 상담을 받으시기 바랍니다.</t>
  </si>
  <si>
    <t>대장내시경 검사에서 염증 소견이 관찰되었습니다. 복통, 설사 및 이상 소견이 있으면 적절한 검사 및 치료를 위해 의료기관을 방문하시어 진료 상담을 받으시기 바랍니다.</t>
  </si>
  <si>
    <t>대장내시경 검사상 점막하 종양이 의심됩니다. 점막하 종양이란 대장점막 아래에서 발생한 종양을 말하며, 정확한 평가 및 적절한 치료 방침 결정을 위해 빠른 시일내에 의료기관을 방문하시어 진료 상담을 받으시기 바랍니다.</t>
  </si>
  <si>
    <t>위염은 여러 가지 원인에 의해 위점막에 염증이 발생한 것으로 속쓰림, 소화불량 등 증상이 있으시면 소화기내과 진료를 받으시고 특별한 증상이 없으시면 2년후 정기검사를 받으세요.</t>
  </si>
  <si>
    <t>위내시경 조직검사에서 장화생을 동반한 위염이 관찰됩니다. 속쓰림, 소화 불량 등 증상이 있으시면 진료를 받으시고, 특별한 증상이 없으시더라도 장화생이 있는 경우 위암발생 가능성이 증가할 수 있으므로 1년 후 정기적인 위내시경검사를 권합니다.</t>
  </si>
  <si>
    <t>복부초음파 검사에서 간에 심한지방간 소견을 보입니다. 과음, 비만증, 고지혈증, 당뇨병 등에 의해 나타날수 있으며 음주제한 및 식이요법, 운동요법을 권합니다. 간혹 간경변증까지 진행되는 경우가 있으니 주의 바라며, 추적검사 요합니다.</t>
  </si>
  <si>
    <t>위용종, 조직검사상 과형성용종</t>
  </si>
  <si>
    <t>위내시경검사에서 용종이 관찰됩니다. 조직검사에서 과형성 용종으로 확인되었습니다. 과형성 용종은 대부분 암으로 진행하지 않는 양성 병변으로 특별한 치료는 필요없지만, 변화 여부에 대한 정기검진은 필요합니다.</t>
  </si>
  <si>
    <t>위장조영검사에서 위식도 역류가 관찰됩니다. 위식도 역류란 위산과 같은 위속 물질이 식도로 역류하는 것으로 신물 올라옴, 속 쓰림, 소화불량 등의 증상이 있으면 의료기관을 방문하시어 진료 상담을 받으시기 바랍니다.</t>
  </si>
  <si>
    <t>갑상선 초음파 검사에서 갑상선의 양측( 좌엽, 우엽 ) 낭종 소견입니다. 갑상선 낭종은 매우 흔한 질환으로 세포가 퇴화 되어 콜로이드성 물질이 차서 생기는 것으로 특별한 증상이 없을 경우에는 정기적인 검진을 받으시면 됩니다.</t>
  </si>
  <si>
    <t>갑상선 초음파 검사에서 갑상선의 양측(좌엽, 우엽)에 결절 소견입니다. 갑상선 일부가 비정상적으로 커져서 결절을 형성하는 것을 말합니다. 내분비내과 진료후 정확한 진단 및 적절한 관리 받으십시오.</t>
  </si>
  <si>
    <t>갑상선 초음파 검사에서 갑상선의 양측(좌엽,우엽)에 종괴 소견입니다. 내분비내과 진료후 정확한 진단 및 적절한 관리를 받으십시오.</t>
  </si>
  <si>
    <t>방사선 검사상 추간판탈출증이 의심되는 소견이 관찰됩니다. 허리 통증, 다리 통증 또는 저린 감각 등의 증상이 있을시 추적검사 및 전문의 상담 받으세요.</t>
  </si>
  <si>
    <t>갑상선기능 항진증 가능성이 있으므로 관련 증상(체중감소, 심계항진 등) 있을 경우 내분비내과 진료 받으시기 바랍니다.</t>
  </si>
  <si>
    <t>위용종, 조직검사상 위저선 용종</t>
  </si>
  <si>
    <t>위내시경검사에서 용종이 관찰됩니다. 조직검사에서 위저선 용종으로 확인되었습니다. 위저선 용종은 대부분 암으로 진행하지 않는 양성 병변으로 특별한 치료는 필요없지만, 변화 여부에 대한 정기검진은 필요합니다.</t>
  </si>
  <si>
    <t>위내시경검사에서 위에 점막하종양이 있습니다. 점막하종양이란 위점막 아래에서 발생한 종양을 말하며, 이 때문에 위벽 일부가 부풀어 올라온 것처럼 보입니다. 정확한 진단 및 적절한 치료 방침 결정을 위해 의료기관을 방문하시어 진료 상담을 받으시기 바랍니다.</t>
  </si>
  <si>
    <t>역류성 식도염, 위염</t>
  </si>
  <si>
    <t>위내시경검사에서 역류성 식도염과 위염이 있습니다.신물오름, 가슴쓰림, 속 쓰림, 소화불량 등의 증상이 있으면 의료기관을 방문하시어 진료 상담 및 치료를 받으시기 바랍니다.</t>
  </si>
  <si>
    <t>위염, 조직검사에서도 위염</t>
  </si>
  <si>
    <t>일부 위염이 심한 부위에서 시행한 조직검사 결과 염증소견 외 특별한 이상은 확인되지 않았습니다. 속쓰림, 소화 불량 등 증상이 있으시면 진료를 받으시고, 특별한 증상이 없으시면 정기검사 받으시기 바랍니다.</t>
  </si>
  <si>
    <t>위염, 조직검사상 재생이형성</t>
  </si>
  <si>
    <t>위용종, 조직검사상 염증성</t>
  </si>
  <si>
    <t>위내시경검사에서 용종이 관찰됩니다. 용종은 위점막에서 혹처럼 튀어나와 자라난 것으로 조직검사에서 염증소견을 보입니다. 이는 대부분 암과의 관련성이 낮은 양성 질환으로 특별한 치료는 필요없지만, 변화 여부에 대한 정기검진은 필요합니다.</t>
  </si>
  <si>
    <t>작은 용종, 조직검사로 제거됨</t>
  </si>
  <si>
    <t>위내시경검사에서 용종이 관찰됩니다. 조직검사 결과는 암과는 관련이 낮은 양성병변으로 확인되었지만, 크기가 큰 경우 악성화 가능성이 있으므로 추적검사가 필요합니다. 의료기관을 방문하여 진료 상담을 받으시기 바랍니다.</t>
  </si>
  <si>
    <t>위용종, 조직검사상 재생이형성</t>
  </si>
  <si>
    <t>위용종, 조직검사상 선종</t>
  </si>
  <si>
    <t>용종 또는 이상부위, 조직검사 시행못함</t>
  </si>
  <si>
    <t>위내시경검사에서 위에 작은 점막하종양이 있습니다. 작은 점막하종양은 당장 특별한 치료가 필요하지는 않지만, 크기 변화를 살펴보기 정기적인 추적검사가 필요합니다. 의료기관을 방문하시어 진료 상담을 받으시기 바랍니다.</t>
  </si>
  <si>
    <t>양성위궤양(BGU), 급성기 혹은 치유기, 헬리코박터균 양성</t>
  </si>
  <si>
    <t>위내시경검사에서 위궤양이 있고, 헬리코박터라는 세균이 발견되었습니다. 헬리코박터균은 위점막내에 존재하며 위염, 궤양, 위암을 일으키는 원인으로 알려져 있습니다. 위궤양 치료와 헬리코박터 제균치료가 필요하며, 치료 후 추적 위내시경검사가 필요합니다.</t>
  </si>
  <si>
    <t>양성위궤양(BGU), 급성기 혹은 치유기, 헬리코박터균 음성</t>
  </si>
  <si>
    <t>위내시경검사에서 위궤양이 발견되었습니다. 조직검사에서 위궤양을 일으키는 원인 중 하나로 알려져 있는 헬리코박터균은 발견되지 않았습니다. 위궤양에 대한 약물치료가 필요하며, 치료 후 추적 위내시경검사가 필요합니다.</t>
  </si>
  <si>
    <t>양성위궤양(BGU), 급성기 혹은 치유기</t>
  </si>
  <si>
    <t>양성위궤양(BGU) 반흔, 헬리코박터균 양성</t>
  </si>
  <si>
    <t>양성위궤양(BGU) 반흔, 헬리코박터균 음성</t>
  </si>
  <si>
    <t>위내시경검사에서 위궤양을 앓은 흔적(반흔)이 있고, 헬리코박터균은 발견되지 않았습니다. 속쓰림, 소화불량 등의 증상이 있으시면 의료기관을 방문하시어 진료 상담을 받으시기 바랍니다.</t>
  </si>
  <si>
    <t>위용종, 조직검사상 고도선종</t>
  </si>
  <si>
    <t>위암의심, 조직검사상 위염</t>
  </si>
  <si>
    <t>위암의심, 조직검사상 비정형선세포</t>
  </si>
  <si>
    <t>위내시경 조직검사상 식도에서 편평세포 유두종이 관찰됩니다. 이는 대부분 암과의 관련성이 낮은 양성 질환으로 특별한 치료는 필요없지만, 변화 여부에 대한 정기검진은 필요합니다.</t>
  </si>
  <si>
    <t>십이지장 용종, 조직검사상 과형성용종</t>
  </si>
  <si>
    <t>위내시경검사에서 십이지장 용종이 관찰됩니다. 조직검사에서 과형성 용종으로 확인되었습니다. 과형성 용종은 대부분 암으로 진행하지 않는 양성 병변으로 특별한 치료는 필요없지만, 변화 여부에 대한 정기검진은 필요합니다.</t>
  </si>
  <si>
    <t>위내시경검사에서 식도정맥류가 관찰됩니다. 식도정맥류는 식도의 정맥이 늘어난 것으로 간경화 등 간에 이상이 있는 경우 동반되어 나타날 수 있으니, 의료기관을 방문하시어 진료 상담을 받으시기 바랍니다.</t>
  </si>
  <si>
    <t>위내시경검사에서 위정맥류가 관찰됩니다. 위정맥류는 위정맥이 늘어난 것으로 간경화 등 간에 이상이 있는 경우 동반되어 나타날 수 있으니, 의료기관을 방문하시어 진료 상담을 받으시기 바랍니다.</t>
  </si>
  <si>
    <t>위내시경검사에서 역류성 식도염이 있습니다. 신물오름, 가슴쓰림, 속 쓰림 등의 증상이 있으면 의료기관을 방문하시어 진료 상담 및 치료를 받으시기 바랍니다.</t>
  </si>
  <si>
    <t>위내시경검사에서 심한 역류성 식도염이 있습니다. 역류성 식도염 정도가 심해서 약물 치료가 필요하오니, 의료기관을 방문하시어 진료 상담을 받으시기 바랍니다.</t>
  </si>
  <si>
    <t>위내시경검사에서 식도 궤양이 있습니다. 식도 궤양은 위산역류, 감염, 악성 질환 등 다양한 원인에 의해 발생할 수 있습니다. 치료 및 추적검사를 위해 의료기관을 방문하시어 진료 상담을 받으시기 바랍니다.</t>
  </si>
  <si>
    <t>바렛식도, 조직검사상 원주상피</t>
  </si>
  <si>
    <t>바렛식도, 조직검사상 이형성</t>
  </si>
  <si>
    <t>캔디다성 식도염, 조직검사상 hyphae(+)</t>
  </si>
  <si>
    <t>위내시경검사에서 캔디다성 식도염이 발견되었습니다. 캔디다란 곰팡이의 일종입니다. 이는 주로 면역이 억제된 사람, 고령, 만성 음주자에 잘 나타납니다. 치료에 대해서 의료기관을 방문하시어 진료 상담을 받으시기 바랍니다.</t>
  </si>
  <si>
    <t>위내시경검사에서 위-식도 접합부 용종이 관찰됩니다. 용종은 점막에서 혹처럼 튀어나와 자라난 것으로 조직검사에서 암과 관련이 낮은 양성 병변으로 확인되었습니다. 특별한 치료는 필요하지 않지만, 변화 여부에 대해서 정기적인 위내시경 검사를 받으시기 바랍니다.</t>
  </si>
  <si>
    <t>위내시경검사에서 위-식도 접합부 용종이 관찰됩니다. 조직검사 결과는 암과는 관련이 낮은 양성병변으로 확인되었지만, 크기가 큰 경우 악성화 가능성이 있으므로 추적검사가 필요합니다. 의료기관을 방문하여 진료 상담을 받으시기 바랍니다.</t>
  </si>
  <si>
    <t>위-식도 접합부 용종, 조직검사상 선종</t>
  </si>
  <si>
    <t>십이지장 궤양, 급성기 혹은 치유기, 헬리코박터균 양성</t>
  </si>
  <si>
    <t>위내시경검사에서 십이지장 궤양이 있고, 헬리코박터라는 세균이 발견되었습니다. 헬리코박터 균은 위염, 궤양, 위암을 일으키는 원인으로 알려져 있습니다. 궤양 치료 및 헬리코박터 제균 치료가 필요하니 의료기관을 방문하시어 진료 상담을 받으시기 바랍니다.</t>
  </si>
  <si>
    <t>십이지장 궤양, 급성기 혹은 치유기, 헬리코박터균 음성</t>
  </si>
  <si>
    <t>위내시경검사에서 십이지장 궤양이 발견되었습니다. 십이지장 궤양을 일으키는 원인 중 하나로 알려져 있는 헬리코박터균은 발견되지 않았습니다. 십이지장 궤양에 대한 약물치료가 필요하니, 의료기관을 방문하시어 진료 상담을 받으시기 바랍니다.</t>
  </si>
  <si>
    <t>십이지장 궤양 반흔, 헬리코박터균 양성</t>
  </si>
  <si>
    <t>위내시경검사에서 십이지장 궤양을 앓은 흔적이 있고, 헬리코박터라는 세균이 발견되었습니다. 십이지장 궤양 재발방지를 위해 헬리코박터 제균 치료가 필요하니 의료기관을 방문하시어 진료 상담을 받으시기 바랍니다.</t>
  </si>
  <si>
    <t>십이지장 궤양 반흔, 헬리코박터균 음성</t>
  </si>
  <si>
    <t>위내시경검사에서 십이지장 궤양을 앓은 흔적(반흔)이 있으나, 십이지장 궤양을 재발시킬 수 있는 헬리코박터균은 발견되지 않았습니다. 다만 십이지장 궤양은 자주 재발할 수 있으니 위험요인(흡연, 음주, 진통제, 카페인 음료 등)을 피하시기 바랍니다.</t>
  </si>
  <si>
    <t>위내시경검사에서 발견된 십이지장 용종은 십이지장 점막에서 혹처럼 튀어나와 자라난 것으로 조직검사에서 암과 관련이 낮은 양성 병변으로 확인되었습니다. 특별한 치료는 필요하지 않지만, 변화 여부에 대해서 정기적인 위내시경 검사를 받으시기 바랍니다.</t>
  </si>
  <si>
    <t>십이지장 용종, 조직검사상 선종</t>
  </si>
  <si>
    <t>위내시경검사에서 십이지장염증이 있습니다. 십이지장염은 여러 가지 원인에 의해 십이지장 점막에 염증이 발생한 것으로 속쓰림, 출혈, 소화불량 등 증상이 없으면 치료는 필요없으며 정기검사 받으시기 바랍니다.</t>
  </si>
  <si>
    <t>위내시경검사에서 식도 탈장이 있습니다. 식도 탈장은 횡경막의 식도 구멍을 통해서 흉강내로 위의 일부가 끌려 올라간 것을 말합니다. 비만, 흡연, 음주, 커피, 기름진 음식 등이 식도염을 유발할 수 있으므로 주의하시기 바랍니다.</t>
  </si>
  <si>
    <t>위내시경검사에서 식도에 점막하종양이 있습니다. 점막하종양이란 점막 아래에서 발생한 종양을 말하며, 이 때문에 식도벽 일부가 부풀어 올라온 것처럼 보입니다. 추가적인 검사 또는 추적관찰을 위해 의료기관을 방문하시어 진료 상담을 받으시기 바랍니다.</t>
  </si>
  <si>
    <t>위내시경검사에서 십이지장에 점막하종양이 있습니다. 점막하종양이란 점막 아래에서 발생한 종양을 말하며, 이 때문에 십이지장벽 일부가 부풀어 올라온 것처럼 보입니다. 추가적인 검사 또는 추적관찰을 위해 의료기관을 방문하시어 진료 상담을 받으시기 바랍니다.</t>
  </si>
  <si>
    <t>이소성 위점막이 식도에 관찰됩니다. 이는 염증 후에 또는 선천적으로 타고난 것으로 특별한 치료는 필요하지 않습니다. 속쓰림, 위통 등의 증상이 없다면 정기 위내시경 검사 받으시기 바랍니다.</t>
  </si>
  <si>
    <t>립선의 크기가 정상 범위(약 20cc 미만)를 초과하여 커진 상태를 말합니다. 빈뇨, 배뇨곤란 등의 증상이 있다면 비뇨기과 진료를 받아 보시기 바랍니다.</t>
  </si>
  <si>
    <t>전립선 조직 내에 칼슘이 침착되어 하얗게 보이는 현상입니다. 빈뇨, 배뇨곤란 등의 증상이 있다면 비뇨기과 진료를 받아 보시기 바랍니다.</t>
  </si>
  <si>
    <t>전립선 내부에 액체가 차 있는 작은 주머니(물혹)가 보입니다. 빈뇨, 배뇨곤란 등의 증상이 있다면 비뇨기과 진료를 받아 보시기 바랍니다.</t>
  </si>
  <si>
    <t>현재 또는 과거염증으로 인해 전립선의 결(에코)이 균일하지 않은 상태입니다. 빈뇨, 배뇨곤란 등의 증상이 있다면 비뇨기과 진료를 받아 보시기 바랍니다.</t>
  </si>
  <si>
    <t>복부 초음파검사에서 경도 지방간 소견입니다. 과음, 비만증, 고지혈증, 당뇨병 등에 의해 나타날수 있으며 음주제한 및 식이요법, 운동요법을 권합니다.</t>
  </si>
  <si>
    <t>복부초음파 검사에서 간에 중등도지방간 소견을 보입니다. 과음, 비만증, 고지혈증, 당뇨병 등에 의해 나타날수 있으며 음주제한 및 식이요법, 운동요법을 권합니다. 정기적으로 검사를 하세요.</t>
  </si>
  <si>
    <t>간초음파 검사상 간에 석회화 침착이 있습니다. 이는 암과는 관련 없는 소견으로 특별한 치료가 필요 없으며, 정기적인 간초음파를 받으시기 바랍니다.</t>
  </si>
  <si>
    <t>간초음파 검사상 담낭 용종이 있습니다. 용종의 크기가 작은 경우에는 특별한 치료가 필요하지 않습니다. 그러나 용종이 자라는 경우에 치료가 필요할 수 있으므로, 정기적인 추적검사 받으시기 바랍니다.</t>
  </si>
  <si>
    <t>간초음파 검사상 혈관종 소견을 보입니다. 혈관종은 간에 발생하는 가장 흔한 양성종양이며, 특별한 치료가 필요하지 않습니다. 그러나 처음 발견되신 경우에는 확진을 위한 추가 검사가 필요하오니, 의료기관을 방문하시어 진료상담을 받으시기 바랍니다.</t>
  </si>
  <si>
    <t>간초음파 검사상 담관에 담석이 있습니다. 담관은 간에서 만들어진 담즙이 분비되는 통로로서, 담석이 있는 경우 담관염 등의 합병증이 생길 수 있습니다. 이에 대한 치료가 필요하오니 의료기관을 방문하시어진료를 받으시기 바랍니다.</t>
  </si>
  <si>
    <t>위장조영검사 결과 위점막 비후가 의심됩니다.  여러 가지 원인에 의해 위점막에 염증이 발생한 것으로 속쓰림, 소화 불량 등 증상이 있으시면 진료를 받으시고, 특별한 증상이 없으시면 2 년 후 정기검사 받으시기 바랍니다.</t>
  </si>
  <si>
    <t>위장조영검사 결과 위염이 의심됩니다. 위염은 여러 가지 원인에 의해 위점막에 염증이 발생한 것으로 속쓰림, 소화 불량 등 증상이 있으시면 진료를 받으시고, 특별한 증상이 없으시면 2 년 후 정기검사 받으시기 바랍니다.</t>
  </si>
  <si>
    <t>위장조영검사 결과 만성 표재성 위염이 의심됩니다. 위염은 여러 가지 원인에 의해 위점막에 염증이 발생한 것으로 속쓰림, 소화 불량 등 증상이 있으시면 진료를 받으시고, 특별한 증상이 없으시면 2 년 후 정기검사 받으시기 바랍니다.</t>
  </si>
  <si>
    <t>횡격막의 식도구멍을 통해 흉강내로 위의 일부가 탈장되는 것을 말하는 것으로 대부분 증상을 유발하지 않지만 가슴통증, 음식물 삼키기 곤란 등의 증상이 발생할 경우 흉부외과 진료 받으세요.</t>
  </si>
  <si>
    <t>복부초음파 검사 결과, 중등도 지방간 소견이며, 지방간은 간에 지방이 침착되어 발생하는 것으로 음주와 비만 등이 주요 원인입니다. 적절한 운동과 체중 조절 및 절주가 필요합니다. 증상이 없다면 정기적인 소화기내과 진료 권합니다.</t>
  </si>
  <si>
    <t xml:space="preserve">복부초음파 검사에서 지방간 소견입니다. 지방간은 간에 지방성분이 쌓인 것으로 비만과 음주가 주요 원인입니다. 저지방식, 금주, 체중조절 등 적극적인 건강관리가 필요합니다. </t>
  </si>
  <si>
    <t>복부초음파 검사 결과, 간좌엽 낭종 소견입니다. 간낭종은 대부분 증상이 없으며 특별한 치료가 필요 없습니다. 경과관찰 바랍니다.</t>
  </si>
  <si>
    <t>복부초음파 검사 결과, 간의 거친 에코상 소견입니다. 거친 에코는 만성 간질환에서 보일 수 있으며, 만성 간염, 약물, 음주 등이 원인일 수 있습니다. 현재 상태의 정확한 원인 평가와 향후 관리를 소화기내과 진료를 받으시기 바랍니다.</t>
  </si>
  <si>
    <t>복부 초음파 검사에서는 간, 담낭, 췌장, 비장, 신장을 검사하였습니다. 귀 하의 검사 소견은 다음과 같습니다. 복부초음파 검사에서 간질환이 의심됩니다. 내원하여 상담을 받으시기 바랍니다.</t>
  </si>
  <si>
    <t>복부초음파 검사 결과, 담낭결석 소견입니다. 담낭결석은 비정상적인 담즙의 구성에 의해 발생합니다. 증상이 없다면 특별한 치료가 필요 없지만, 우측 상복부에 심한 통증이 발생하는 경우 담석증, 담도염 가능성 있습니다. 추적 관찰 바랍니다.</t>
  </si>
  <si>
    <t>복부초음파 검사 결과, 작은 담낭 용종 소견입니다. 담낭 용종은 담낭의 점막에 생기는 작은 혹으로 대부분 콜레스테롤 침착에 의한 것이며, 용종의 크기가 작은 경우에는 특별한 치료가 필요하지 않으나, 용종이 자라는 경우 치료가 필요할 수 있습니다. 추적관찰 바랍니다.</t>
  </si>
  <si>
    <t>복부 초음파 검사에서는 간, 담낭, 췌장, 비장, 신장을 검사하였습니다. 복부초음파 검사결과 기타 신장 이상 소견이 발견됩니다. 경미한 소견일 수도 있으나 확진을 위하여 내원하시기 바랍니다.</t>
  </si>
  <si>
    <t>복부초음파 검사 결과, 좌측 신장에 cm 낭종이 나타납니다. 낭종(물혹)은 대부분 악성이 아니며 크기가 작은 경우 특별한 문제가 없습니다. 경과관찰을 권합니다.</t>
  </si>
  <si>
    <t>복부초음파 검사 결과, 우측 신장에 cm 낭종이 나타납니다. 낭종(물혹)은 대부분 악성이 아니며 크기가 작은 경우 특별한 문제가 없습니다. 경과관찰을 권합니다.</t>
  </si>
  <si>
    <t>복부초음파 검사 결과, 신장에 ?cm 크기의 신장낭종 발견되었습니다. 단순 신 낭종으로 보이며 특별한 치료가 필요하지 않습니다. 6개월마다 초음파 검사 추적관찰 바랍니다.</t>
  </si>
  <si>
    <t xml:space="preserve">복부 초음파 검사에서는 간, 담낭, 췌장, 비장, 신장을 검사하였습니다. 복부초음파검사 결과 콩팥 크기가 보통보다 작아보입니다. 내원하여 상담을 받으시기 바랍니다. </t>
  </si>
  <si>
    <t xml:space="preserve">복부 초음파 검사에서는 간, 담낭, 췌장, 비장, 신장을 검사하였습니다. 복부초음파 검사결과 비장의 크기가 약간 커 보입니다. 비장비대는 혈액이나 면역체계 또는 만성 간질환 등의 이상이 있을때 나타날 수 있습니다. </t>
  </si>
  <si>
    <t>복부 초음파 검사에서는 간, 담낭, 췌장, 비장, 신장을 검사하였습니다. 복부 초음파 검사결과 췌장 위축 소견이 있습니다. 금식이 제대로 되지 않아 나타나는 현상일 수 있으나 추후 내원하셔서 경과관찰 하시기 바랍니다.</t>
  </si>
  <si>
    <t xml:space="preserve">복부 초음파 검사에서는 간, 담낭, 췌장, 비장, 신장을 검사하였습니다. 복부초음파 검사 결과 췌장에 덩어리(종괴)를 의심케하는 소견이 나타납니다. 정밀검사를 위해 내원하여 상담하시기 바랍니다. </t>
  </si>
  <si>
    <t>갑상선 초음파 검사 결과, 갑상선종이 관찰됩니다. 이는 갑상선이 전반적으로 커진 상태로, 갑상선종 자체에 대해서는 미용적인 문제 외에는 특별한 치료가 필요 없습니다. 다만 원인에 대해 갑상선 호르몬 검사 등과 정확한 진단이 필요합니다. 내분비내과 진료 바랍니다.</t>
  </si>
  <si>
    <t>갑상선 결절(추적관찰, 3)</t>
  </si>
  <si>
    <t>갑상선 초음파 검사 결과, 양측 엽에 낮은 정도 의심 결절 다수(최대 크기 1.9cm)과 낭종들이 관찰됩니다. 암과의 관련성이 낮은 양성병변으로 생각되지만 크기와 모양 변화에 대한 추적검사를 할 필요는 있습니다. 1-2년 후 갑상선 초음파 검사를 통한 추적 검사바랍니다.</t>
  </si>
  <si>
    <t>유방초음파 검사 결과 유방 결절 및 낭종 소견 확인됩니다. 특별한 증상이 없다면 경과 관찰하시고, 변화를 확인하기 위해 외과 통해 추적검사 받으시기 바랍니다.</t>
  </si>
  <si>
    <t>간암 표지자 검사 결과가 양성으로 나왔습니다. 양성간질환, 급성바이러스성 간염, 만성 활동성간염, 간경변증, 전격성 간괴사, 간의 악성 종양 등을 구분하기 위하여 추적검사가 필요하며, 소화기내과 상담을 받으시기 바랍니다.</t>
  </si>
  <si>
    <t>Vitamin D 검사 결과 비타민 D 부족 소견입니다. 일조량을 늘리시고, 필요에 따라 내과 진료를 통한 비타민 D 보충 치료를 권장합니다.</t>
  </si>
  <si>
    <t>간암 표지자 검사 결과가 양성으로 나왔습니다. 이 수치의 상승이 간암을 의미하는 것은 아니며, 간염 등의 양성 간질환이나 생식 세포 종양에서 증가하며 정상인도 일시적으로 상승할 수 있습니다. 소화기내과 진료를 통해 추가검사 필요성에 대해 상의하십시오.</t>
  </si>
  <si>
    <t>유방촬영 검사상 치밀유방 소견을 보이나 특별한 이상은 발견되지 않습니다. 하지만 치밀유방의 경우 유방조직이 치밀하여, 치밀조직내 유방암이 있을 경우 X선 검사만으로는 병변의 발견이 어려울 수 있으므로 정확한 진단위해서는 유방초음파 검사가 필요합니다.</t>
  </si>
  <si>
    <t>고도의 비만이 있습니다. 식사습관조절과 운동이 필요하며, 소아청소년과 진료 받으시기 바랍니다.</t>
  </si>
  <si>
    <t>소변의 산성도가 높게 나왔습니다. 소변의 산성도는 수분 및 음식 섭취 요로 감염, 또는 신장 질환과 관련될 수 있습니다. 정확한 원인 파악을 위해 비뇨의학과 진료 바랍니다.</t>
  </si>
  <si>
    <t>소변의 산성도가 낮게 나왔습니다. 소변의 산성도는 수분 및 음식 섭취 요로 감염, 또는 신장 질환과 관련될 수 있습니다. 정확한 원인 파악을 위해 비뇨의학과 진료 바랍니다.</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</si>
</sst>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65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9"/>
      <color theme="1"/>
      <name val="맑은 고딕"/>
      <family val="2"/>
      <charset val="129"/>
      <scheme val="minor"/>
    </font>
    <font>
      <sz val="8"/>
      <name val="맑은 고딕"/>
      <family val="2"/>
      <charset val="129"/>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0" fontId="18" fillId="0" borderId="10" xfId="0" applyFont="1" applyBorder="1">
      <alignment vertical="center"/>
    </xf>
    <xf numFmtId="0" fontId="18" fillId="33" borderId="10" xfId="0" applyFont="1" applyFill="1" applyBorder="1">
      <alignment vertical="center"/>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24"/>
  <sheetViews>
    <sheetView tabSelected="1" workbookViewId="0"/>
  </sheetViews>
  <sheetFormatPr defaultRowHeight="16.5" x14ac:dyDescent="0.3"/>
  <cols>
    <col min="1" max="1" width="8.75" bestFit="1" customWidth="1"/>
    <col min="2" max="2" width="11.375" bestFit="1" customWidth="1"/>
    <col min="3" max="4" width="28.5" customWidth="1"/>
    <col min="5" max="5" width="10.25" bestFit="1" customWidth="1"/>
    <col min="6" max="11" width="8.75" bestFit="1" customWidth="1"/>
    <col min="12" max="12" width="6.5" customWidth="1"/>
    <col min="13" max="16" width="8.75" bestFit="1" customWidth="1"/>
    <col min="17" max="17" width="5.25" customWidth="1"/>
  </cols>
  <sheetData>
    <row r="1" spans="1:17" x14ac:dyDescent="0.3">
      <c r="A1" s="2" t="str">
        <f>"""판정코드"""</f>
        <v>"판정코드"</v>
      </c>
      <c r="B1" s="2" t="str">
        <f>"""소견코드"""</f>
        <v>"소견코드"</v>
      </c>
      <c r="C1" s="2" t="str">
        <f>"""소견명"""</f>
        <v>"소견명"</v>
      </c>
      <c r="D1" s="2" t="str">
        <f>"""조치명"""</f>
        <v>"조치명"</v>
      </c>
      <c r="E1" s="2" t="str">
        <f>"""업무적합성"""</f>
        <v>"업무적합성"</v>
      </c>
      <c r="F1" s="2" t="str">
        <f>"""사후관리"""</f>
        <v>"사후관리"</v>
      </c>
      <c r="G1" s="2" t="str">
        <f>"""질병소견"""</f>
        <v>"질병소견"</v>
      </c>
      <c r="H1" s="2" t="str">
        <f>"""관련질환"""</f>
        <v>"관련질환"</v>
      </c>
      <c r="I1" s="2" t="str">
        <f>"""유해인자"""</f>
        <v>"유해인자"</v>
      </c>
      <c r="J1" s="2" t="str">
        <f>"""공단소견"""</f>
        <v>"공단소견"</v>
      </c>
      <c r="K1" s="2" t="str">
        <f>"""공단조치"""</f>
        <v>"공단조치"</v>
      </c>
      <c r="L1" s="2" t="str">
        <f>"""판정타입 R:결과판정 Q:설문판정"""</f>
        <v>"판정타입 R:결과판정 Q:설문판정"</v>
      </c>
      <c r="M1" s="2" t="str">
        <f>"""표적장기"""</f>
        <v>"표적장기"</v>
      </c>
      <c r="N1" s="2" t="str">
        <f>"""통계표시"""</f>
        <v>"통계표시"</v>
      </c>
      <c r="O1" s="2" t="str">
        <f>"""사용유무"""</f>
        <v>"사용유무"</v>
      </c>
      <c r="P1" s="2" t="str">
        <f>"""출력타입"""</f>
        <v>"출력타입"</v>
      </c>
      <c r="Q1" s="2" t="s">
        <v>0</v>
      </c>
    </row>
    <row r="2" spans="1:17" x14ac:dyDescent="0.3">
      <c r="A2" s="1" t="str">
        <f t="shared" ref="A2:A65" si="0">"A"</f>
        <v>A</v>
      </c>
      <c r="B2" s="1" t="str">
        <f>"1AAA111"</f>
        <v>1AAA111</v>
      </c>
      <c r="C2" s="1" t="str">
        <f>"미검항목 있음"</f>
        <v>미검항목 있음</v>
      </c>
      <c r="D2" s="1" t="str">
        <f>"시력검사와 청력검사는 시행하지 못하였습니다."</f>
        <v>시력검사와 청력검사는 시행하지 못하였습니다.</v>
      </c>
      <c r="E2" s="1" t="str">
        <f>"WOK01"</f>
        <v>WOK01</v>
      </c>
      <c r="F2" s="1" t="str">
        <f>"PTM00"</f>
        <v>PTM00</v>
      </c>
      <c r="G2" s="1" t="str">
        <f>""</f>
        <v/>
      </c>
      <c r="H2" s="1" t="str">
        <f>""</f>
        <v/>
      </c>
      <c r="I2" s="1" t="str">
        <f>""</f>
        <v/>
      </c>
      <c r="J2" s="1" t="str">
        <f>"S01A"</f>
        <v>S01A</v>
      </c>
      <c r="K2" s="1" t="str">
        <f>"S01A"</f>
        <v>S01A</v>
      </c>
      <c r="L2" s="1" t="str">
        <f t="shared" ref="L2:L65" si="1">"R"</f>
        <v>R</v>
      </c>
      <c r="M2" s="1" t="str">
        <f>""</f>
        <v/>
      </c>
      <c r="N2" s="1" t="str">
        <f t="shared" ref="N2:P21" si="2">"Y"</f>
        <v>Y</v>
      </c>
      <c r="O2" s="1" t="str">
        <f t="shared" si="2"/>
        <v>Y</v>
      </c>
      <c r="P2" s="1" t="str">
        <f t="shared" si="2"/>
        <v>Y</v>
      </c>
      <c r="Q2" s="1" t="str">
        <f t="shared" ref="Q2:Q33" si="3">"A"</f>
        <v>A</v>
      </c>
    </row>
    <row r="3" spans="1:17" x14ac:dyDescent="0.3">
      <c r="A3" s="1" t="str">
        <f t="shared" si="0"/>
        <v>A</v>
      </c>
      <c r="B3" s="1" t="str">
        <f>"1AAA1111"</f>
        <v>1AAA1111</v>
      </c>
      <c r="C3" s="1" t="str">
        <f>"정상"</f>
        <v>정상</v>
      </c>
      <c r="D3" s="1" t="str">
        <f>"검사를 실시한 항목에 대해서는 특이 소견이 없습니다. 다음 번 주기에 맞추어 검진을 받으시기 바랍니다."</f>
        <v>검사를 실시한 항목에 대해서는 특이 소견이 없습니다. 다음 번 주기에 맞추어 검진을 받으시기 바랍니다.</v>
      </c>
      <c r="E3" s="1" t="str">
        <f>"WOK01"</f>
        <v>WOK01</v>
      </c>
      <c r="F3" s="1" t="str">
        <f>"PTM00"</f>
        <v>PTM00</v>
      </c>
      <c r="G3" s="1" t="str">
        <f>""</f>
        <v/>
      </c>
      <c r="H3" s="1" t="str">
        <f>""</f>
        <v/>
      </c>
      <c r="I3" s="1" t="str">
        <f>""</f>
        <v/>
      </c>
      <c r="J3" s="1" t="str">
        <f>"S01A"</f>
        <v>S01A</v>
      </c>
      <c r="K3" s="1" t="str">
        <f>"S01A"</f>
        <v>S01A</v>
      </c>
      <c r="L3" s="1" t="str">
        <f t="shared" si="1"/>
        <v>R</v>
      </c>
      <c r="M3" s="1" t="str">
        <f>""</f>
        <v/>
      </c>
      <c r="N3" s="1" t="str">
        <f t="shared" si="2"/>
        <v>Y</v>
      </c>
      <c r="O3" s="1" t="str">
        <f t="shared" si="2"/>
        <v>Y</v>
      </c>
      <c r="P3" s="1" t="str">
        <f t="shared" si="2"/>
        <v>Y</v>
      </c>
      <c r="Q3" s="1" t="str">
        <f t="shared" si="3"/>
        <v>A</v>
      </c>
    </row>
    <row r="4" spans="1:17" x14ac:dyDescent="0.3">
      <c r="A4" s="1" t="str">
        <f t="shared" si="0"/>
        <v>A</v>
      </c>
      <c r="B4" s="1" t="str">
        <f>"A123"</f>
        <v>A123</v>
      </c>
      <c r="C4" s="1" t="str">
        <f>"운전면허적성검사"</f>
        <v>운전면허적성검사</v>
      </c>
      <c r="D4" s="1" t="str">
        <f>"시행함"</f>
        <v>시행함</v>
      </c>
      <c r="E4" s="1" t="str">
        <f>""</f>
        <v/>
      </c>
      <c r="F4" s="1" t="str">
        <f>""</f>
        <v/>
      </c>
      <c r="G4" s="1" t="str">
        <f>""</f>
        <v/>
      </c>
      <c r="H4" s="1" t="str">
        <f>""</f>
        <v/>
      </c>
      <c r="I4" s="1" t="str">
        <f>""</f>
        <v/>
      </c>
      <c r="J4" s="1" t="str">
        <f>""</f>
        <v/>
      </c>
      <c r="K4" s="1" t="str">
        <f>""</f>
        <v/>
      </c>
      <c r="L4" s="1" t="str">
        <f t="shared" si="1"/>
        <v>R</v>
      </c>
      <c r="M4" s="1" t="str">
        <f>""</f>
        <v/>
      </c>
      <c r="N4" s="1" t="str">
        <f t="shared" si="2"/>
        <v>Y</v>
      </c>
      <c r="O4" s="1" t="str">
        <f t="shared" si="2"/>
        <v>Y</v>
      </c>
      <c r="P4" s="1" t="str">
        <f t="shared" si="2"/>
        <v>Y</v>
      </c>
      <c r="Q4" s="1" t="str">
        <f t="shared" si="3"/>
        <v>A</v>
      </c>
    </row>
    <row r="5" spans="1:17" x14ac:dyDescent="0.3">
      <c r="A5" s="1" t="str">
        <f t="shared" si="0"/>
        <v>A</v>
      </c>
      <c r="B5" s="1" t="str">
        <f>"AAA111"</f>
        <v>AAA111</v>
      </c>
      <c r="C5" s="1" t="str">
        <f>"정상"</f>
        <v>정상</v>
      </c>
      <c r="D5" s="1" t="str">
        <f>"건강진단 결과 특이 소견은 없습니다. 다음 번 주기에 맞추어 검진을 받으시기 바랍니다."</f>
        <v>건강진단 결과 특이 소견은 없습니다. 다음 번 주기에 맞추어 검진을 받으시기 바랍니다.</v>
      </c>
      <c r="E5" s="1" t="str">
        <f>"WOK01"</f>
        <v>WOK01</v>
      </c>
      <c r="F5" s="1" t="str">
        <f>"PTM00"</f>
        <v>PTM00</v>
      </c>
      <c r="G5" s="1" t="str">
        <f>""</f>
        <v/>
      </c>
      <c r="H5" s="1" t="str">
        <f>""</f>
        <v/>
      </c>
      <c r="I5" s="1" t="str">
        <f>""</f>
        <v/>
      </c>
      <c r="J5" s="1" t="str">
        <f>"S01A"</f>
        <v>S01A</v>
      </c>
      <c r="K5" s="1" t="str">
        <f>"S01A"</f>
        <v>S01A</v>
      </c>
      <c r="L5" s="1" t="str">
        <f t="shared" si="1"/>
        <v>R</v>
      </c>
      <c r="M5" s="1" t="str">
        <f>""</f>
        <v/>
      </c>
      <c r="N5" s="1" t="str">
        <f t="shared" si="2"/>
        <v>Y</v>
      </c>
      <c r="O5" s="1" t="str">
        <f t="shared" si="2"/>
        <v>Y</v>
      </c>
      <c r="P5" s="1" t="str">
        <f t="shared" si="2"/>
        <v>Y</v>
      </c>
      <c r="Q5" s="1" t="str">
        <f t="shared" si="3"/>
        <v>A</v>
      </c>
    </row>
    <row r="6" spans="1:17" x14ac:dyDescent="0.3">
      <c r="A6" s="1" t="str">
        <f t="shared" si="0"/>
        <v>A</v>
      </c>
      <c r="B6" s="1" t="str">
        <f>"AAA112"</f>
        <v>AAA112</v>
      </c>
      <c r="C6" s="1" t="str">
        <f>"정상(혈종관련)"</f>
        <v>정상(혈종관련)</v>
      </c>
      <c r="D6" s="1" t="str">
        <f>"귀하의 검사결과 특별한 이상소견은 발견되지 않았습니다. 바람직한 생활습관을 통하여 현재의 건강을 유지 및 증진시키기에 노력하시기 바랍니다. 또한 정기적인 건강검진을 통하여 지속적인 관심을 가지시기 바랍니다. 감사합니다."</f>
        <v>귀하의 검사결과 특별한 이상소견은 발견되지 않았습니다. 바람직한 생활습관을 통하여 현재의 건강을 유지 및 증진시키기에 노력하시기 바랍니다. 또한 정기적인 건강검진을 통하여 지속적인 관심을 가지시기 바랍니다. 감사합니다.</v>
      </c>
      <c r="E6" s="1" t="str">
        <f>""</f>
        <v/>
      </c>
      <c r="F6" s="1" t="str">
        <f>""</f>
        <v/>
      </c>
      <c r="G6" s="1" t="str">
        <f>""</f>
        <v/>
      </c>
      <c r="H6" s="1" t="str">
        <f>""</f>
        <v/>
      </c>
      <c r="I6" s="1" t="str">
        <f>""</f>
        <v/>
      </c>
      <c r="J6" s="1" t="str">
        <f>""</f>
        <v/>
      </c>
      <c r="K6" s="1" t="str">
        <f>""</f>
        <v/>
      </c>
      <c r="L6" s="1" t="str">
        <f t="shared" si="1"/>
        <v>R</v>
      </c>
      <c r="M6" s="1" t="str">
        <f>""</f>
        <v/>
      </c>
      <c r="N6" s="1" t="str">
        <f t="shared" si="2"/>
        <v>Y</v>
      </c>
      <c r="O6" s="1" t="str">
        <f t="shared" si="2"/>
        <v>Y</v>
      </c>
      <c r="P6" s="1" t="str">
        <f t="shared" si="2"/>
        <v>Y</v>
      </c>
      <c r="Q6" s="1" t="str">
        <f t="shared" si="3"/>
        <v>A</v>
      </c>
    </row>
    <row r="7" spans="1:17" x14ac:dyDescent="0.3">
      <c r="A7" s="1" t="str">
        <f t="shared" si="0"/>
        <v>A</v>
      </c>
      <c r="B7" s="1" t="str">
        <f>"AAA113"</f>
        <v>AAA113</v>
      </c>
      <c r="C7" s="1" t="str">
        <f>"기타정상(혈종관련)"</f>
        <v>기타정상(혈종관련)</v>
      </c>
      <c r="D7" s="1" t="str">
        <f>"그밖의 검사 결과는 모두 정상입니다. 상기 이상치를 보인 것도 반드시 병적이라 볼 수 없고 귀하의 경우 정상일 가능성이 높습니다."</f>
        <v>그밖의 검사 결과는 모두 정상입니다. 상기 이상치를 보인 것도 반드시 병적이라 볼 수 없고 귀하의 경우 정상일 가능성이 높습니다.</v>
      </c>
      <c r="E7" s="1" t="str">
        <f>""</f>
        <v/>
      </c>
      <c r="F7" s="1" t="str">
        <f>""</f>
        <v/>
      </c>
      <c r="G7" s="1" t="str">
        <f>""</f>
        <v/>
      </c>
      <c r="H7" s="1" t="str">
        <f>""</f>
        <v/>
      </c>
      <c r="I7" s="1" t="str">
        <f>""</f>
        <v/>
      </c>
      <c r="J7" s="1" t="str">
        <f>""</f>
        <v/>
      </c>
      <c r="K7" s="1" t="str">
        <f>""</f>
        <v/>
      </c>
      <c r="L7" s="1" t="str">
        <f t="shared" si="1"/>
        <v>R</v>
      </c>
      <c r="M7" s="1" t="str">
        <f>""</f>
        <v/>
      </c>
      <c r="N7" s="1" t="str">
        <f t="shared" si="2"/>
        <v>Y</v>
      </c>
      <c r="O7" s="1" t="str">
        <f t="shared" si="2"/>
        <v>Y</v>
      </c>
      <c r="P7" s="1" t="str">
        <f t="shared" si="2"/>
        <v>Y</v>
      </c>
      <c r="Q7" s="1" t="str">
        <f t="shared" si="3"/>
        <v>A</v>
      </c>
    </row>
    <row r="8" spans="1:17" x14ac:dyDescent="0.3">
      <c r="A8" s="1" t="str">
        <f t="shared" si="0"/>
        <v>A</v>
      </c>
      <c r="B8" s="1" t="str">
        <f>"AAA116"</f>
        <v>AAA116</v>
      </c>
      <c r="C8" s="1" t="str">
        <f>"정상(이상지질혈증 2차 검사)"</f>
        <v>정상(이상지질혈증 2차 검사)</v>
      </c>
      <c r="D8" s="1" t="s">
        <v>1</v>
      </c>
      <c r="E8" s="1" t="str">
        <f>"WOK01"</f>
        <v>WOK01</v>
      </c>
      <c r="F8" s="1" t="str">
        <f t="shared" ref="F8:F18" si="4">"PTM00"</f>
        <v>PTM00</v>
      </c>
      <c r="G8" s="1" t="str">
        <f>"DISE"</f>
        <v>DISE</v>
      </c>
      <c r="H8" s="1" t="str">
        <f>"REL04"</f>
        <v>REL04</v>
      </c>
      <c r="I8" s="1" t="str">
        <f>""</f>
        <v/>
      </c>
      <c r="J8" s="1" t="str">
        <f>"C04A"</f>
        <v>C04A</v>
      </c>
      <c r="K8" s="1" t="str">
        <f>"C04A"</f>
        <v>C04A</v>
      </c>
      <c r="L8" s="1" t="str">
        <f t="shared" si="1"/>
        <v>R</v>
      </c>
      <c r="M8" s="1" t="str">
        <f>"T03"</f>
        <v>T03</v>
      </c>
      <c r="N8" s="1" t="str">
        <f t="shared" si="2"/>
        <v>Y</v>
      </c>
      <c r="O8" s="1" t="str">
        <f t="shared" si="2"/>
        <v>Y</v>
      </c>
      <c r="P8" s="1" t="str">
        <f t="shared" si="2"/>
        <v>Y</v>
      </c>
      <c r="Q8" s="1" t="str">
        <f t="shared" si="3"/>
        <v>A</v>
      </c>
    </row>
    <row r="9" spans="1:17" x14ac:dyDescent="0.3">
      <c r="A9" s="1" t="str">
        <f t="shared" si="0"/>
        <v>A</v>
      </c>
      <c r="B9" s="1" t="str">
        <f>"AAA116N"</f>
        <v>AAA116N</v>
      </c>
      <c r="C9" s="1" t="str">
        <f>"정상(이상지질혈증 2차 검사)"</f>
        <v>정상(이상지질혈증 2차 검사)</v>
      </c>
      <c r="D9" s="1" t="s">
        <v>1</v>
      </c>
      <c r="E9" s="1" t="str">
        <f>"WOK01"</f>
        <v>WOK01</v>
      </c>
      <c r="F9" s="1" t="str">
        <f t="shared" si="4"/>
        <v>PTM00</v>
      </c>
      <c r="G9" s="1" t="str">
        <f>"DIS600"</f>
        <v>DIS600</v>
      </c>
      <c r="H9" s="1" t="str">
        <f>"REL04"</f>
        <v>REL04</v>
      </c>
      <c r="I9" s="1" t="str">
        <f>""</f>
        <v/>
      </c>
      <c r="J9" s="1" t="str">
        <f>"N01A"</f>
        <v>N01A</v>
      </c>
      <c r="K9" s="1" t="str">
        <f>"N01A"</f>
        <v>N01A</v>
      </c>
      <c r="L9" s="1" t="str">
        <f t="shared" si="1"/>
        <v>R</v>
      </c>
      <c r="M9" s="1" t="str">
        <f>"T031"</f>
        <v>T031</v>
      </c>
      <c r="N9" s="1" t="str">
        <f t="shared" si="2"/>
        <v>Y</v>
      </c>
      <c r="O9" s="1" t="str">
        <f t="shared" si="2"/>
        <v>Y</v>
      </c>
      <c r="P9" s="1" t="str">
        <f t="shared" si="2"/>
        <v>Y</v>
      </c>
      <c r="Q9" s="1" t="str">
        <f t="shared" si="3"/>
        <v>A</v>
      </c>
    </row>
    <row r="10" spans="1:17" x14ac:dyDescent="0.3">
      <c r="A10" s="1" t="str">
        <f t="shared" si="0"/>
        <v>A</v>
      </c>
      <c r="B10" s="1" t="str">
        <f>"AAA118"</f>
        <v>AAA118</v>
      </c>
      <c r="C10" s="1" t="str">
        <f>"경미한 빈혈"</f>
        <v>경미한 빈혈</v>
      </c>
      <c r="D10" s="1" t="str">
        <f>"경미한 빈혈소견이 보이나 말초혈액도말검사상 특이소견은 없습니다. 벤젠사용시 보호구착용을 철저히 하세요."</f>
        <v>경미한 빈혈소견이 보이나 말초혈액도말검사상 특이소견은 없습니다. 벤젠사용시 보호구착용을 철저히 하세요.</v>
      </c>
      <c r="E10" s="1" t="str">
        <f>"WOK01"</f>
        <v>WOK01</v>
      </c>
      <c r="F10" s="1" t="str">
        <f t="shared" si="4"/>
        <v>PTM00</v>
      </c>
      <c r="G10" s="1" t="str">
        <f>"DISD"</f>
        <v>DISD</v>
      </c>
      <c r="H10" s="1" t="str">
        <f>"REL12"</f>
        <v>REL12</v>
      </c>
      <c r="I10" s="1" t="str">
        <f>""</f>
        <v/>
      </c>
      <c r="J10" s="1" t="str">
        <f>"S01A"</f>
        <v>S01A</v>
      </c>
      <c r="K10" s="1" t="str">
        <f>"S01A"</f>
        <v>S01A</v>
      </c>
      <c r="L10" s="1" t="str">
        <f t="shared" si="1"/>
        <v>R</v>
      </c>
      <c r="M10" s="1" t="str">
        <f>"T01"</f>
        <v>T01</v>
      </c>
      <c r="N10" s="1" t="str">
        <f t="shared" si="2"/>
        <v>Y</v>
      </c>
      <c r="O10" s="1" t="str">
        <f t="shared" si="2"/>
        <v>Y</v>
      </c>
      <c r="P10" s="1" t="str">
        <f t="shared" si="2"/>
        <v>Y</v>
      </c>
      <c r="Q10" s="1" t="str">
        <f t="shared" si="3"/>
        <v>A</v>
      </c>
    </row>
    <row r="11" spans="1:17" x14ac:dyDescent="0.3">
      <c r="A11" s="1" t="str">
        <f t="shared" si="0"/>
        <v>A</v>
      </c>
      <c r="B11" s="1" t="str">
        <f>"AAA119"</f>
        <v>AAA119</v>
      </c>
      <c r="C11" s="1" t="str">
        <f>"(양측)청력정상"</f>
        <v>(양측)청력정상</v>
      </c>
      <c r="D11" s="1" t="str">
        <f>"청력 2차 정밀검사상 정상수치 입니다. 귀마개착용을 하시고 근무 하세요."</f>
        <v>청력 2차 정밀검사상 정상수치 입니다. 귀마개착용을 하시고 근무 하세요.</v>
      </c>
      <c r="E11" s="1" t="str">
        <f>"WOK01"</f>
        <v>WOK01</v>
      </c>
      <c r="F11" s="1" t="str">
        <f t="shared" si="4"/>
        <v>PTM00</v>
      </c>
      <c r="G11" s="1" t="str">
        <f>"DISH"</f>
        <v>DISH</v>
      </c>
      <c r="H11" s="1" t="str">
        <f>"REL19"</f>
        <v>REL19</v>
      </c>
      <c r="I11" s="1" t="str">
        <f>"01"</f>
        <v>01</v>
      </c>
      <c r="J11" s="1" t="str">
        <f>"C38A"</f>
        <v>C38A</v>
      </c>
      <c r="K11" s="1" t="str">
        <f>"C38A"</f>
        <v>C38A</v>
      </c>
      <c r="L11" s="1" t="str">
        <f t="shared" si="1"/>
        <v>R</v>
      </c>
      <c r="M11" s="1" t="str">
        <f>"T10"</f>
        <v>T10</v>
      </c>
      <c r="N11" s="1" t="str">
        <f t="shared" si="2"/>
        <v>Y</v>
      </c>
      <c r="O11" s="1" t="str">
        <f t="shared" si="2"/>
        <v>Y</v>
      </c>
      <c r="P11" s="1" t="str">
        <f t="shared" si="2"/>
        <v>Y</v>
      </c>
      <c r="Q11" s="1" t="str">
        <f t="shared" si="3"/>
        <v>A</v>
      </c>
    </row>
    <row r="12" spans="1:17" x14ac:dyDescent="0.3">
      <c r="A12" s="1" t="str">
        <f t="shared" si="0"/>
        <v>A</v>
      </c>
      <c r="B12" s="1" t="str">
        <f>"AAA120"</f>
        <v>AAA120</v>
      </c>
      <c r="C12" s="1" t="str">
        <f>"(양측)청력정상"</f>
        <v>(양측)청력정상</v>
      </c>
      <c r="D12" s="1" t="str">
        <f>"청력 검사상 특이사항 없습니다."</f>
        <v>청력 검사상 특이사항 없습니다.</v>
      </c>
      <c r="E12" s="1" t="str">
        <f>"WOK01"</f>
        <v>WOK01</v>
      </c>
      <c r="F12" s="1" t="str">
        <f t="shared" si="4"/>
        <v>PTM00</v>
      </c>
      <c r="G12" s="1" t="str">
        <f>"DISH"</f>
        <v>DISH</v>
      </c>
      <c r="H12" s="1" t="str">
        <f>"REL19"</f>
        <v>REL19</v>
      </c>
      <c r="I12" s="1" t="str">
        <f>"01"</f>
        <v>01</v>
      </c>
      <c r="J12" s="1" t="str">
        <f>"C38A"</f>
        <v>C38A</v>
      </c>
      <c r="K12" s="1" t="str">
        <f>"C38A"</f>
        <v>C38A</v>
      </c>
      <c r="L12" s="1" t="str">
        <f t="shared" si="1"/>
        <v>R</v>
      </c>
      <c r="M12" s="1" t="str">
        <f>"T10"</f>
        <v>T10</v>
      </c>
      <c r="N12" s="1" t="str">
        <f t="shared" si="2"/>
        <v>Y</v>
      </c>
      <c r="O12" s="1" t="str">
        <f t="shared" si="2"/>
        <v>Y</v>
      </c>
      <c r="P12" s="1" t="str">
        <f t="shared" si="2"/>
        <v>Y</v>
      </c>
      <c r="Q12" s="1" t="str">
        <f t="shared" si="3"/>
        <v>A</v>
      </c>
    </row>
    <row r="13" spans="1:17" x14ac:dyDescent="0.3">
      <c r="A13" s="1" t="str">
        <f t="shared" si="0"/>
        <v>A</v>
      </c>
      <c r="B13" s="1" t="str">
        <f>"AAA122"</f>
        <v>AAA122</v>
      </c>
      <c r="C13" s="1" t="str">
        <f>"폐기능검사 정상"</f>
        <v>폐기능검사 정상</v>
      </c>
      <c r="D13" s="1" t="s">
        <v>2</v>
      </c>
      <c r="E13" s="1" t="str">
        <f>"WOK02"</f>
        <v>WOK02</v>
      </c>
      <c r="F13" s="1" t="str">
        <f t="shared" si="4"/>
        <v>PTM00</v>
      </c>
      <c r="G13" s="1" t="str">
        <f>"DISJ"</f>
        <v>DISJ</v>
      </c>
      <c r="H13" s="1" t="str">
        <f>"REL02"</f>
        <v>REL02</v>
      </c>
      <c r="I13" s="1" t="str">
        <f>""</f>
        <v/>
      </c>
      <c r="J13" s="1" t="str">
        <f>"C40A"</f>
        <v>C40A</v>
      </c>
      <c r="K13" s="1" t="str">
        <f>"C40A"</f>
        <v>C40A</v>
      </c>
      <c r="L13" s="1" t="str">
        <f t="shared" si="1"/>
        <v>R</v>
      </c>
      <c r="M13" s="1" t="str">
        <f>"T04"</f>
        <v>T04</v>
      </c>
      <c r="N13" s="1" t="str">
        <f t="shared" si="2"/>
        <v>Y</v>
      </c>
      <c r="O13" s="1" t="str">
        <f t="shared" si="2"/>
        <v>Y</v>
      </c>
      <c r="P13" s="1" t="str">
        <f t="shared" si="2"/>
        <v>Y</v>
      </c>
      <c r="Q13" s="1" t="str">
        <f t="shared" si="3"/>
        <v>A</v>
      </c>
    </row>
    <row r="14" spans="1:17" x14ac:dyDescent="0.3">
      <c r="A14" s="1" t="str">
        <f t="shared" si="0"/>
        <v>A</v>
      </c>
      <c r="B14" s="1" t="str">
        <f>"AAA122PFT"</f>
        <v>AAA122PFT</v>
      </c>
      <c r="C14" s="1" t="str">
        <f>"폐기능 검사 부적합"</f>
        <v>폐기능 검사 부적합</v>
      </c>
      <c r="D14" s="1" t="s">
        <v>3</v>
      </c>
      <c r="E14" s="1" t="str">
        <f t="shared" ref="E14:E26" si="5">"WOK01"</f>
        <v>WOK01</v>
      </c>
      <c r="F14" s="1" t="str">
        <f t="shared" si="4"/>
        <v>PTM00</v>
      </c>
      <c r="G14" s="1" t="str">
        <f>"DISJ"</f>
        <v>DISJ</v>
      </c>
      <c r="H14" s="1" t="str">
        <f>"REL15"</f>
        <v>REL15</v>
      </c>
      <c r="I14" s="1" t="str">
        <f>""</f>
        <v/>
      </c>
      <c r="J14" s="1" t="str">
        <f>"C40A"</f>
        <v>C40A</v>
      </c>
      <c r="K14" s="1" t="str">
        <f>"C40A"</f>
        <v>C40A</v>
      </c>
      <c r="L14" s="1" t="str">
        <f t="shared" si="1"/>
        <v>R</v>
      </c>
      <c r="M14" s="1" t="str">
        <f>"T04"</f>
        <v>T04</v>
      </c>
      <c r="N14" s="1" t="str">
        <f t="shared" si="2"/>
        <v>Y</v>
      </c>
      <c r="O14" s="1" t="str">
        <f t="shared" si="2"/>
        <v>Y</v>
      </c>
      <c r="P14" s="1" t="str">
        <f t="shared" si="2"/>
        <v>Y</v>
      </c>
      <c r="Q14" s="1" t="str">
        <f t="shared" si="3"/>
        <v>A</v>
      </c>
    </row>
    <row r="15" spans="1:17" x14ac:dyDescent="0.3">
      <c r="A15" s="1" t="str">
        <f t="shared" si="0"/>
        <v>A</v>
      </c>
      <c r="B15" s="1" t="str">
        <f>"AAAA111"</f>
        <v>AAAA111</v>
      </c>
      <c r="C15" s="1" t="str">
        <f>"업무 가능"</f>
        <v>업무 가능</v>
      </c>
      <c r="D15" s="1" t="str">
        <f>"검진 결과에 의하면 현재의 건강상태는 일반 업무 수행에 지장이 없습니다."</f>
        <v>검진 결과에 의하면 현재의 건강상태는 일반 업무 수행에 지장이 없습니다.</v>
      </c>
      <c r="E15" s="1" t="str">
        <f t="shared" si="5"/>
        <v>WOK01</v>
      </c>
      <c r="F15" s="1" t="str">
        <f t="shared" si="4"/>
        <v>PTM00</v>
      </c>
      <c r="G15" s="1" t="str">
        <f>""</f>
        <v/>
      </c>
      <c r="H15" s="1" t="str">
        <f>""</f>
        <v/>
      </c>
      <c r="I15" s="1" t="str">
        <f>""</f>
        <v/>
      </c>
      <c r="J15" s="1" t="str">
        <f>"S01A"</f>
        <v>S01A</v>
      </c>
      <c r="K15" s="1" t="str">
        <f>"S01A"</f>
        <v>S01A</v>
      </c>
      <c r="L15" s="1" t="str">
        <f t="shared" si="1"/>
        <v>R</v>
      </c>
      <c r="M15" s="1" t="str">
        <f>""</f>
        <v/>
      </c>
      <c r="N15" s="1" t="str">
        <f t="shared" si="2"/>
        <v>Y</v>
      </c>
      <c r="O15" s="1" t="str">
        <f t="shared" si="2"/>
        <v>Y</v>
      </c>
      <c r="P15" s="1" t="str">
        <f t="shared" si="2"/>
        <v>Y</v>
      </c>
      <c r="Q15" s="1" t="str">
        <f t="shared" si="3"/>
        <v>A</v>
      </c>
    </row>
    <row r="16" spans="1:17" x14ac:dyDescent="0.3">
      <c r="A16" s="1" t="str">
        <f t="shared" si="0"/>
        <v>A</v>
      </c>
      <c r="B16" s="1" t="str">
        <f>"AAAAAA"</f>
        <v>AAAAAA</v>
      </c>
      <c r="C16" s="1" t="str">
        <f>"특이소견 없음"</f>
        <v>특이소견 없음</v>
      </c>
      <c r="D16" s="1" t="str">
        <f>"건강진단 결과 특이 소견은 없습니다. 다음 번 주기에 맞추어 검진을 받으시기 바랍니다."</f>
        <v>건강진단 결과 특이 소견은 없습니다. 다음 번 주기에 맞추어 검진을 받으시기 바랍니다.</v>
      </c>
      <c r="E16" s="1" t="str">
        <f t="shared" si="5"/>
        <v>WOK01</v>
      </c>
      <c r="F16" s="1" t="str">
        <f t="shared" si="4"/>
        <v>PTM00</v>
      </c>
      <c r="G16" s="1" t="str">
        <f>""</f>
        <v/>
      </c>
      <c r="H16" s="1" t="str">
        <f>""</f>
        <v/>
      </c>
      <c r="I16" s="1" t="str">
        <f>""</f>
        <v/>
      </c>
      <c r="J16" s="1" t="str">
        <f>""</f>
        <v/>
      </c>
      <c r="K16" s="1" t="str">
        <f>""</f>
        <v/>
      </c>
      <c r="L16" s="1" t="str">
        <f t="shared" si="1"/>
        <v>R</v>
      </c>
      <c r="M16" s="1" t="str">
        <f>""</f>
        <v/>
      </c>
      <c r="N16" s="1" t="str">
        <f t="shared" si="2"/>
        <v>Y</v>
      </c>
      <c r="O16" s="1" t="str">
        <f t="shared" si="2"/>
        <v>Y</v>
      </c>
      <c r="P16" s="1" t="str">
        <f t="shared" si="2"/>
        <v>Y</v>
      </c>
      <c r="Q16" s="1" t="str">
        <f t="shared" si="3"/>
        <v>A</v>
      </c>
    </row>
    <row r="17" spans="1:17" x14ac:dyDescent="0.3">
      <c r="A17" s="1" t="str">
        <f t="shared" si="0"/>
        <v>A</v>
      </c>
      <c r="B17" s="1" t="str">
        <f>"ANE201A"</f>
        <v>ANE201A</v>
      </c>
      <c r="C17" s="1" t="str">
        <f>"빈혈관련수치 경미한 이상"</f>
        <v>빈혈관련수치 경미한 이상</v>
      </c>
      <c r="D17" s="1" t="s">
        <v>4</v>
      </c>
      <c r="E17" s="1" t="str">
        <f t="shared" si="5"/>
        <v>WOK01</v>
      </c>
      <c r="F17" s="1" t="str">
        <f t="shared" si="4"/>
        <v>PTM00</v>
      </c>
      <c r="G17" s="1" t="str">
        <f>"DISD"</f>
        <v>DISD</v>
      </c>
      <c r="H17" s="1" t="str">
        <f>"REL12"</f>
        <v>REL12</v>
      </c>
      <c r="I17" s="1" t="str">
        <f>""</f>
        <v/>
      </c>
      <c r="J17" s="1" t="str">
        <f t="shared" ref="J17:K19" si="6">"S01A"</f>
        <v>S01A</v>
      </c>
      <c r="K17" s="1" t="str">
        <f t="shared" si="6"/>
        <v>S01A</v>
      </c>
      <c r="L17" s="1" t="str">
        <f t="shared" si="1"/>
        <v>R</v>
      </c>
      <c r="M17" s="1" t="str">
        <f>"T01"</f>
        <v>T01</v>
      </c>
      <c r="N17" s="1" t="str">
        <f t="shared" si="2"/>
        <v>Y</v>
      </c>
      <c r="O17" s="1" t="str">
        <f t="shared" si="2"/>
        <v>Y</v>
      </c>
      <c r="P17" s="1" t="str">
        <f t="shared" si="2"/>
        <v>Y</v>
      </c>
      <c r="Q17" s="1" t="str">
        <f t="shared" si="3"/>
        <v>A</v>
      </c>
    </row>
    <row r="18" spans="1:17" x14ac:dyDescent="0.3">
      <c r="A18" s="1" t="str">
        <f t="shared" si="0"/>
        <v>A</v>
      </c>
      <c r="B18" s="1" t="str">
        <f>"ANE201A2"</f>
        <v>ANE201A2</v>
      </c>
      <c r="C18" s="1" t="str">
        <f>"혈색소 관련수치 경미한 이상"</f>
        <v>혈색소 관련수치 경미한 이상</v>
      </c>
      <c r="D18" s="1" t="s">
        <v>5</v>
      </c>
      <c r="E18" s="1" t="str">
        <f t="shared" si="5"/>
        <v>WOK01</v>
      </c>
      <c r="F18" s="1" t="str">
        <f t="shared" si="4"/>
        <v>PTM00</v>
      </c>
      <c r="G18" s="1" t="str">
        <f>"DISD"</f>
        <v>DISD</v>
      </c>
      <c r="H18" s="1" t="str">
        <f>"REL12"</f>
        <v>REL12</v>
      </c>
      <c r="I18" s="1" t="str">
        <f>""</f>
        <v/>
      </c>
      <c r="J18" s="1" t="str">
        <f t="shared" si="6"/>
        <v>S01A</v>
      </c>
      <c r="K18" s="1" t="str">
        <f t="shared" si="6"/>
        <v>S01A</v>
      </c>
      <c r="L18" s="1" t="str">
        <f t="shared" si="1"/>
        <v>R</v>
      </c>
      <c r="M18" s="1" t="str">
        <f>"T01"</f>
        <v>T01</v>
      </c>
      <c r="N18" s="1" t="str">
        <f t="shared" si="2"/>
        <v>Y</v>
      </c>
      <c r="O18" s="1" t="str">
        <f t="shared" si="2"/>
        <v>Y</v>
      </c>
      <c r="P18" s="1" t="str">
        <f t="shared" si="2"/>
        <v>Y</v>
      </c>
      <c r="Q18" s="1" t="str">
        <f t="shared" si="3"/>
        <v>A</v>
      </c>
    </row>
    <row r="19" spans="1:17" x14ac:dyDescent="0.3">
      <c r="A19" s="1" t="str">
        <f t="shared" si="0"/>
        <v>A</v>
      </c>
      <c r="B19" s="1" t="str">
        <f>"CAN101"</f>
        <v>CAN101</v>
      </c>
      <c r="C19" s="1" t="str">
        <f>"임신 중 알파피토프로테인(a-FP)상승"</f>
        <v>임신 중 알파피토프로테인(a-FP)상승</v>
      </c>
      <c r="D19" s="1" t="str">
        <f>"임신과 관련된 정상소견입니다. 이상소견 아니므로 주기적 산전진찰만 받으시면 됩니다."</f>
        <v>임신과 관련된 정상소견입니다. 이상소견 아니므로 주기적 산전진찰만 받으시면 됩니다.</v>
      </c>
      <c r="E19" s="1" t="str">
        <f t="shared" si="5"/>
        <v>WOK01</v>
      </c>
      <c r="F19" s="1" t="str">
        <f>"PTM01"</f>
        <v>PTM01</v>
      </c>
      <c r="G19" s="1" t="str">
        <f>""</f>
        <v/>
      </c>
      <c r="H19" s="1" t="str">
        <f>""</f>
        <v/>
      </c>
      <c r="I19" s="1" t="str">
        <f>""</f>
        <v/>
      </c>
      <c r="J19" s="1" t="str">
        <f t="shared" si="6"/>
        <v>S01A</v>
      </c>
      <c r="K19" s="1" t="str">
        <f t="shared" si="6"/>
        <v>S01A</v>
      </c>
      <c r="L19" s="1" t="str">
        <f t="shared" si="1"/>
        <v>R</v>
      </c>
      <c r="M19" s="1" t="str">
        <f>"T02"</f>
        <v>T02</v>
      </c>
      <c r="N19" s="1" t="str">
        <f t="shared" si="2"/>
        <v>Y</v>
      </c>
      <c r="O19" s="1" t="str">
        <f t="shared" si="2"/>
        <v>Y</v>
      </c>
      <c r="P19" s="1" t="str">
        <f t="shared" si="2"/>
        <v>Y</v>
      </c>
      <c r="Q19" s="1" t="str">
        <f t="shared" si="3"/>
        <v>A</v>
      </c>
    </row>
    <row r="20" spans="1:17" x14ac:dyDescent="0.3">
      <c r="A20" s="1" t="str">
        <f t="shared" si="0"/>
        <v>A</v>
      </c>
      <c r="B20" s="1" t="str">
        <f>"CFSD001"</f>
        <v>CFSD001</v>
      </c>
      <c r="C20" s="1" t="str">
        <f>"정상 대장내시경"</f>
        <v>정상 대장내시경</v>
      </c>
      <c r="D20" s="1" t="str">
        <f>"▶대장내시경 검사에서 특이 이상소견은 관찰되지 않았습니다. 정기적으로 검진을 받으시기 바랍니다."</f>
        <v>▶대장내시경 검사에서 특이 이상소견은 관찰되지 않았습니다. 정기적으로 검진을 받으시기 바랍니다.</v>
      </c>
      <c r="E20" s="1" t="str">
        <f t="shared" si="5"/>
        <v>WOK01</v>
      </c>
      <c r="F20" s="1" t="str">
        <f t="shared" ref="F20:F31" si="7">"PTM00"</f>
        <v>PTM00</v>
      </c>
      <c r="G20" s="1" t="str">
        <f>""</f>
        <v/>
      </c>
      <c r="H20" s="1" t="str">
        <f>"REL37"</f>
        <v>REL37</v>
      </c>
      <c r="I20" s="1" t="str">
        <f>""</f>
        <v/>
      </c>
      <c r="J20" s="1" t="str">
        <f>""</f>
        <v/>
      </c>
      <c r="K20" s="1" t="str">
        <f>""</f>
        <v/>
      </c>
      <c r="L20" s="1" t="str">
        <f t="shared" si="1"/>
        <v>R</v>
      </c>
      <c r="M20" s="1" t="str">
        <f>"T20"</f>
        <v>T20</v>
      </c>
      <c r="N20" s="1" t="str">
        <f t="shared" si="2"/>
        <v>Y</v>
      </c>
      <c r="O20" s="1" t="str">
        <f t="shared" si="2"/>
        <v>Y</v>
      </c>
      <c r="P20" s="1" t="str">
        <f t="shared" si="2"/>
        <v>Y</v>
      </c>
      <c r="Q20" s="1" t="str">
        <f t="shared" si="3"/>
        <v>A</v>
      </c>
    </row>
    <row r="21" spans="1:17" x14ac:dyDescent="0.3">
      <c r="A21" s="1" t="str">
        <f t="shared" si="0"/>
        <v>A</v>
      </c>
      <c r="B21" s="1" t="str">
        <f>"CLA"</f>
        <v>CLA</v>
      </c>
      <c r="C21" s="1" t="str">
        <f>"정상(염소 임시건강진단)"</f>
        <v>정상(염소 임시건강진단)</v>
      </c>
      <c r="D21" s="1" t="str">
        <f>"건강검진상 특이소견 없습니다"</f>
        <v>건강검진상 특이소견 없습니다</v>
      </c>
      <c r="E21" s="1" t="str">
        <f t="shared" si="5"/>
        <v>WOK01</v>
      </c>
      <c r="F21" s="1" t="str">
        <f t="shared" si="7"/>
        <v>PTM00</v>
      </c>
      <c r="G21" s="1" t="str">
        <f>"DIS407"</f>
        <v>DIS407</v>
      </c>
      <c r="H21" s="1" t="str">
        <f>"REL00"</f>
        <v>REL00</v>
      </c>
      <c r="I21" s="1" t="str">
        <f>"P0658"</f>
        <v>P0658</v>
      </c>
      <c r="J21" s="1" t="str">
        <f>"N01A"</f>
        <v>N01A</v>
      </c>
      <c r="K21" s="1" t="str">
        <f>"N01A"</f>
        <v>N01A</v>
      </c>
      <c r="L21" s="1" t="str">
        <f t="shared" si="1"/>
        <v>R</v>
      </c>
      <c r="M21" s="1" t="str">
        <f>"T04"</f>
        <v>T04</v>
      </c>
      <c r="N21" s="1" t="str">
        <f t="shared" si="2"/>
        <v>Y</v>
      </c>
      <c r="O21" s="1" t="str">
        <f t="shared" si="2"/>
        <v>Y</v>
      </c>
      <c r="P21" s="1" t="str">
        <f t="shared" si="2"/>
        <v>Y</v>
      </c>
      <c r="Q21" s="1" t="str">
        <f t="shared" si="3"/>
        <v>A</v>
      </c>
    </row>
    <row r="22" spans="1:17" x14ac:dyDescent="0.3">
      <c r="A22" s="1" t="str">
        <f t="shared" si="0"/>
        <v>A</v>
      </c>
      <c r="B22" s="1" t="str">
        <f>"DER111"</f>
        <v>DER111</v>
      </c>
      <c r="C22" s="1" t="str">
        <f>"정상(접촉성 피부염)"</f>
        <v>정상(접촉성 피부염)</v>
      </c>
      <c r="D22" s="1" t="str">
        <f>"접촉성피부염 검사상 정상 입니다."</f>
        <v>접촉성피부염 검사상 정상 입니다.</v>
      </c>
      <c r="E22" s="1" t="str">
        <f t="shared" si="5"/>
        <v>WOK01</v>
      </c>
      <c r="F22" s="1" t="str">
        <f t="shared" si="7"/>
        <v>PTM00</v>
      </c>
      <c r="G22" s="1" t="str">
        <f>""</f>
        <v/>
      </c>
      <c r="H22" s="1" t="str">
        <f>""</f>
        <v/>
      </c>
      <c r="I22" s="1" t="str">
        <f>""</f>
        <v/>
      </c>
      <c r="J22" s="1" t="str">
        <f>"C42A"</f>
        <v>C42A</v>
      </c>
      <c r="K22" s="1" t="str">
        <f>"C42A"</f>
        <v>C42A</v>
      </c>
      <c r="L22" s="1" t="str">
        <f t="shared" si="1"/>
        <v>R</v>
      </c>
      <c r="M22" s="1" t="str">
        <f>"T08"</f>
        <v>T08</v>
      </c>
      <c r="N22" s="1" t="str">
        <f t="shared" ref="N22:P41" si="8">"Y"</f>
        <v>Y</v>
      </c>
      <c r="O22" s="1" t="str">
        <f t="shared" si="8"/>
        <v>Y</v>
      </c>
      <c r="P22" s="1" t="str">
        <f t="shared" si="8"/>
        <v>Y</v>
      </c>
      <c r="Q22" s="1" t="str">
        <f t="shared" si="3"/>
        <v>A</v>
      </c>
    </row>
    <row r="23" spans="1:17" x14ac:dyDescent="0.3">
      <c r="A23" s="1" t="str">
        <f t="shared" si="0"/>
        <v>A</v>
      </c>
      <c r="B23" s="1" t="str">
        <f>"DES201"</f>
        <v>DES201</v>
      </c>
      <c r="C23" s="1" t="str">
        <f>"Schimer 검사상 정상범위"</f>
        <v>Schimer 검사상 정상범위</v>
      </c>
      <c r="D23" s="1" t="str">
        <f>"안구건조증 정밀검사결과 정상입니다"</f>
        <v>안구건조증 정밀검사결과 정상입니다</v>
      </c>
      <c r="E23" s="1" t="str">
        <f t="shared" si="5"/>
        <v>WOK01</v>
      </c>
      <c r="F23" s="1" t="str">
        <f t="shared" si="7"/>
        <v>PTM00</v>
      </c>
      <c r="G23" s="1" t="str">
        <f>""</f>
        <v/>
      </c>
      <c r="H23" s="1" t="str">
        <f>""</f>
        <v/>
      </c>
      <c r="I23" s="1" t="str">
        <f>""</f>
        <v/>
      </c>
      <c r="J23" s="1" t="str">
        <f>"C38A"</f>
        <v>C38A</v>
      </c>
      <c r="K23" s="1" t="str">
        <f>"C38A"</f>
        <v>C38A</v>
      </c>
      <c r="L23" s="1" t="str">
        <f t="shared" si="1"/>
        <v>R</v>
      </c>
      <c r="M23" s="1" t="str">
        <f>"T09"</f>
        <v>T09</v>
      </c>
      <c r="N23" s="1" t="str">
        <f t="shared" si="8"/>
        <v>Y</v>
      </c>
      <c r="O23" s="1" t="str">
        <f t="shared" si="8"/>
        <v>Y</v>
      </c>
      <c r="P23" s="1" t="str">
        <f t="shared" si="8"/>
        <v>Y</v>
      </c>
      <c r="Q23" s="1" t="str">
        <f t="shared" si="3"/>
        <v>A</v>
      </c>
    </row>
    <row r="24" spans="1:17" x14ac:dyDescent="0.3">
      <c r="A24" s="1" t="str">
        <f t="shared" si="0"/>
        <v>A</v>
      </c>
      <c r="B24" s="1" t="str">
        <f>"DMD202"</f>
        <v>DMD202</v>
      </c>
      <c r="C24" s="1" t="str">
        <f>"경미한 요당"</f>
        <v>경미한 요당</v>
      </c>
      <c r="D24" s="1" t="str">
        <f>"소변검사에서 요당 수치가 경미하게 검출됩니다. 일시적인 현상일 가능성 높으나 당뇨 등 질환에 의한 증상일 수 있습니다. 3개월 뒤 추적검사 바랍니다."</f>
        <v>소변검사에서 요당 수치가 경미하게 검출됩니다. 일시적인 현상일 가능성 높으나 당뇨 등 질환에 의한 증상일 수 있습니다. 3개월 뒤 추적검사 바랍니다.</v>
      </c>
      <c r="E24" s="1" t="str">
        <f t="shared" si="5"/>
        <v>WOK01</v>
      </c>
      <c r="F24" s="1" t="str">
        <f t="shared" si="7"/>
        <v>PTM00</v>
      </c>
      <c r="G24" s="1" t="str">
        <f>"DISE"</f>
        <v>DISE</v>
      </c>
      <c r="H24" s="1" t="str">
        <f>"REL07"</f>
        <v>REL07</v>
      </c>
      <c r="I24" s="1" t="str">
        <f>""</f>
        <v/>
      </c>
      <c r="J24" s="1" t="str">
        <f>"C06A"</f>
        <v>C06A</v>
      </c>
      <c r="K24" s="1" t="str">
        <f>"C06A"</f>
        <v>C06A</v>
      </c>
      <c r="L24" s="1" t="str">
        <f t="shared" si="1"/>
        <v>R</v>
      </c>
      <c r="M24" s="1" t="str">
        <f>"T03"</f>
        <v>T03</v>
      </c>
      <c r="N24" s="1" t="str">
        <f t="shared" si="8"/>
        <v>Y</v>
      </c>
      <c r="O24" s="1" t="str">
        <f t="shared" si="8"/>
        <v>Y</v>
      </c>
      <c r="P24" s="1" t="str">
        <f t="shared" si="8"/>
        <v>Y</v>
      </c>
      <c r="Q24" s="1" t="str">
        <f t="shared" si="3"/>
        <v>A</v>
      </c>
    </row>
    <row r="25" spans="1:17" x14ac:dyDescent="0.3">
      <c r="A25" s="1" t="str">
        <f t="shared" si="0"/>
        <v>A</v>
      </c>
      <c r="B25" s="1" t="str">
        <f>"DMD204"</f>
        <v>DMD204</v>
      </c>
      <c r="C25" s="1" t="str">
        <f>"2차검사상 혈당정상"</f>
        <v>2차검사상 혈당정상</v>
      </c>
      <c r="D25" s="1" t="str">
        <f>"2차검사상 혈당정상수치이나 1차검사시 혈당이 높았으므로 생활습관개선(운동 및 과음 과식삼가)하시고 정기적인 혈당검사 필요합니다."</f>
        <v>2차검사상 혈당정상수치이나 1차검사시 혈당이 높았으므로 생활습관개선(운동 및 과음 과식삼가)하시고 정기적인 혈당검사 필요합니다.</v>
      </c>
      <c r="E25" s="1" t="str">
        <f t="shared" si="5"/>
        <v>WOK01</v>
      </c>
      <c r="F25" s="1" t="str">
        <f t="shared" si="7"/>
        <v>PTM00</v>
      </c>
      <c r="G25" s="1" t="str">
        <f>"DISE"</f>
        <v>DISE</v>
      </c>
      <c r="H25" s="1" t="str">
        <f>"REL07"</f>
        <v>REL07</v>
      </c>
      <c r="I25" s="1" t="str">
        <f>""</f>
        <v/>
      </c>
      <c r="J25" s="1" t="str">
        <f>"C06A"</f>
        <v>C06A</v>
      </c>
      <c r="K25" s="1" t="str">
        <f>"C06A"</f>
        <v>C06A</v>
      </c>
      <c r="L25" s="1" t="str">
        <f t="shared" si="1"/>
        <v>R</v>
      </c>
      <c r="M25" s="1" t="str">
        <f>"T03"</f>
        <v>T03</v>
      </c>
      <c r="N25" s="1" t="str">
        <f t="shared" si="8"/>
        <v>Y</v>
      </c>
      <c r="O25" s="1" t="str">
        <f t="shared" si="8"/>
        <v>Y</v>
      </c>
      <c r="P25" s="1" t="str">
        <f t="shared" si="8"/>
        <v>Y</v>
      </c>
      <c r="Q25" s="1" t="str">
        <f t="shared" si="3"/>
        <v>A</v>
      </c>
    </row>
    <row r="26" spans="1:17" x14ac:dyDescent="0.3">
      <c r="A26" s="1" t="str">
        <f t="shared" si="0"/>
        <v>A</v>
      </c>
      <c r="B26" s="1" t="str">
        <f>"DMD204N"</f>
        <v>DMD204N</v>
      </c>
      <c r="C26" s="1" t="str">
        <f>"혈당관리 필요(야간검진)"</f>
        <v>혈당관리 필요(야간검진)</v>
      </c>
      <c r="D26" s="1" t="str">
        <f>"혈당이 오르지 않도록 식이요법과 체중관리가 필요합니다."</f>
        <v>혈당이 오르지 않도록 식이요법과 체중관리가 필요합니다.</v>
      </c>
      <c r="E26" s="1" t="str">
        <f t="shared" si="5"/>
        <v>WOK01</v>
      </c>
      <c r="F26" s="1" t="str">
        <f t="shared" si="7"/>
        <v>PTM00</v>
      </c>
      <c r="G26" s="1" t="str">
        <f>"DIS600"</f>
        <v>DIS600</v>
      </c>
      <c r="H26" s="1" t="str">
        <f>"REL07"</f>
        <v>REL07</v>
      </c>
      <c r="I26" s="1" t="str">
        <f>"P0601"</f>
        <v>P0601</v>
      </c>
      <c r="J26" s="1" t="str">
        <f>"N01A"</f>
        <v>N01A</v>
      </c>
      <c r="K26" s="1" t="str">
        <f>"N01A"</f>
        <v>N01A</v>
      </c>
      <c r="L26" s="1" t="str">
        <f t="shared" si="1"/>
        <v>R</v>
      </c>
      <c r="M26" s="1" t="str">
        <f>"T031"</f>
        <v>T031</v>
      </c>
      <c r="N26" s="1" t="str">
        <f t="shared" si="8"/>
        <v>Y</v>
      </c>
      <c r="O26" s="1" t="str">
        <f t="shared" si="8"/>
        <v>Y</v>
      </c>
      <c r="P26" s="1" t="str">
        <f t="shared" si="8"/>
        <v>Y</v>
      </c>
      <c r="Q26" s="1" t="str">
        <f t="shared" si="3"/>
        <v>A</v>
      </c>
    </row>
    <row r="27" spans="1:17" x14ac:dyDescent="0.3">
      <c r="A27" s="1" t="str">
        <f t="shared" si="0"/>
        <v>A</v>
      </c>
      <c r="B27" s="1" t="str">
        <f>"EKG111"</f>
        <v>EKG111</v>
      </c>
      <c r="C27" s="1" t="str">
        <f>"심전도 정상"</f>
        <v>심전도 정상</v>
      </c>
      <c r="D27" s="1" t="s">
        <v>6</v>
      </c>
      <c r="E27" s="1" t="str">
        <f>""</f>
        <v/>
      </c>
      <c r="F27" s="1" t="str">
        <f t="shared" si="7"/>
        <v>PTM00</v>
      </c>
      <c r="G27" s="1" t="str">
        <f>"DISI"</f>
        <v>DISI</v>
      </c>
      <c r="H27" s="1" t="str">
        <f>"REL06"</f>
        <v>REL06</v>
      </c>
      <c r="I27" s="1" t="str">
        <f>""</f>
        <v/>
      </c>
      <c r="J27" s="1" t="str">
        <f>""</f>
        <v/>
      </c>
      <c r="K27" s="1" t="str">
        <f>""</f>
        <v/>
      </c>
      <c r="L27" s="1" t="str">
        <f t="shared" si="1"/>
        <v>R</v>
      </c>
      <c r="M27" s="1" t="str">
        <f>"T03"</f>
        <v>T03</v>
      </c>
      <c r="N27" s="1" t="str">
        <f t="shared" si="8"/>
        <v>Y</v>
      </c>
      <c r="O27" s="1" t="str">
        <f t="shared" si="8"/>
        <v>Y</v>
      </c>
      <c r="P27" s="1" t="str">
        <f t="shared" si="8"/>
        <v>Y</v>
      </c>
      <c r="Q27" s="1" t="str">
        <f t="shared" si="3"/>
        <v>A</v>
      </c>
    </row>
    <row r="28" spans="1:17" x14ac:dyDescent="0.3">
      <c r="A28" s="1" t="str">
        <f t="shared" si="0"/>
        <v>A</v>
      </c>
      <c r="B28" s="1" t="str">
        <f>"EKG323"</f>
        <v>EKG323</v>
      </c>
      <c r="C28" s="1" t="str">
        <f>"우심증"</f>
        <v>우심증</v>
      </c>
      <c r="D28" s="1" t="str">
        <f>"심장 위치가 우측에 있습니다. 선천적인 것으로 대개의 경우 별다른 문제가 없습니다."</f>
        <v>심장 위치가 우측에 있습니다. 선천적인 것으로 대개의 경우 별다른 문제가 없습니다.</v>
      </c>
      <c r="E28" s="1" t="str">
        <f t="shared" ref="E28:E57" si="9">"WOK01"</f>
        <v>WOK01</v>
      </c>
      <c r="F28" s="1" t="str">
        <f t="shared" si="7"/>
        <v>PTM00</v>
      </c>
      <c r="G28" s="1" t="str">
        <f>"DISI"</f>
        <v>DISI</v>
      </c>
      <c r="H28" s="1" t="str">
        <f>"REL06"</f>
        <v>REL06</v>
      </c>
      <c r="I28" s="1" t="str">
        <f>""</f>
        <v/>
      </c>
      <c r="J28" s="1" t="str">
        <f>"C39A"</f>
        <v>C39A</v>
      </c>
      <c r="K28" s="1" t="str">
        <f>"C39A"</f>
        <v>C39A</v>
      </c>
      <c r="L28" s="1" t="str">
        <f t="shared" si="1"/>
        <v>R</v>
      </c>
      <c r="M28" s="1" t="str">
        <f>"T03"</f>
        <v>T03</v>
      </c>
      <c r="N28" s="1" t="str">
        <f t="shared" si="8"/>
        <v>Y</v>
      </c>
      <c r="O28" s="1" t="str">
        <f t="shared" si="8"/>
        <v>Y</v>
      </c>
      <c r="P28" s="1" t="str">
        <f t="shared" si="8"/>
        <v>Y</v>
      </c>
      <c r="Q28" s="1" t="str">
        <f t="shared" si="3"/>
        <v>A</v>
      </c>
    </row>
    <row r="29" spans="1:17" x14ac:dyDescent="0.3">
      <c r="A29" s="1" t="str">
        <f t="shared" si="0"/>
        <v>A</v>
      </c>
      <c r="B29" s="1" t="str">
        <f>"EKG323T"</f>
        <v>EKG323T</v>
      </c>
      <c r="C29" s="1" t="str">
        <f>"우심증"</f>
        <v>우심증</v>
      </c>
      <c r="D29" s="1" t="str">
        <f>"심장위치가 우측에 있습니다. 선천적인 것으로 대개의 경우 별다른 문제가 없습니다."</f>
        <v>심장위치가 우측에 있습니다. 선천적인 것으로 대개의 경우 별다른 문제가 없습니다.</v>
      </c>
      <c r="E29" s="1" t="str">
        <f t="shared" si="9"/>
        <v>WOK01</v>
      </c>
      <c r="F29" s="1" t="str">
        <f t="shared" si="7"/>
        <v>PTM00</v>
      </c>
      <c r="G29" s="1" t="str">
        <f>"DISI"</f>
        <v>DISI</v>
      </c>
      <c r="H29" s="1" t="str">
        <f>"REL06"</f>
        <v>REL06</v>
      </c>
      <c r="I29" s="1" t="str">
        <f>""</f>
        <v/>
      </c>
      <c r="J29" s="1" t="str">
        <f>"C39A"</f>
        <v>C39A</v>
      </c>
      <c r="K29" s="1" t="str">
        <f>"C39A"</f>
        <v>C39A</v>
      </c>
      <c r="L29" s="1" t="str">
        <f t="shared" si="1"/>
        <v>R</v>
      </c>
      <c r="M29" s="1" t="str">
        <f>"T03"</f>
        <v>T03</v>
      </c>
      <c r="N29" s="1" t="str">
        <f t="shared" si="8"/>
        <v>Y</v>
      </c>
      <c r="O29" s="1" t="str">
        <f t="shared" si="8"/>
        <v>Y</v>
      </c>
      <c r="P29" s="1" t="str">
        <f t="shared" si="8"/>
        <v>Y</v>
      </c>
      <c r="Q29" s="1" t="str">
        <f t="shared" si="3"/>
        <v>A</v>
      </c>
    </row>
    <row r="30" spans="1:17" x14ac:dyDescent="0.3">
      <c r="A30" s="1" t="str">
        <f t="shared" si="0"/>
        <v>A</v>
      </c>
      <c r="B30" s="1" t="str">
        <f>"EMP207"</f>
        <v>EMP207</v>
      </c>
      <c r="C30" s="1" t="str">
        <f>"경미한 심전도변화"</f>
        <v>경미한 심전도변화</v>
      </c>
      <c r="D30" s="1" t="str">
        <f>"치료가 필요치 않는 경미한 심전도 이상소견입니다."</f>
        <v>치료가 필요치 않는 경미한 심전도 이상소견입니다.</v>
      </c>
      <c r="E30" s="1" t="str">
        <f t="shared" si="9"/>
        <v>WOK01</v>
      </c>
      <c r="F30" s="1" t="str">
        <f t="shared" si="7"/>
        <v>PTM00</v>
      </c>
      <c r="G30" s="1" t="str">
        <f>"DISI"</f>
        <v>DISI</v>
      </c>
      <c r="H30" s="1" t="str">
        <f>"REL06"</f>
        <v>REL06</v>
      </c>
      <c r="I30" s="1" t="str">
        <f>""</f>
        <v/>
      </c>
      <c r="J30" s="1" t="str">
        <f>"S01A"</f>
        <v>S01A</v>
      </c>
      <c r="K30" s="1" t="str">
        <f>"S01A"</f>
        <v>S01A</v>
      </c>
      <c r="L30" s="1" t="str">
        <f t="shared" si="1"/>
        <v>R</v>
      </c>
      <c r="M30" s="1" t="str">
        <f>"T03"</f>
        <v>T03</v>
      </c>
      <c r="N30" s="1" t="str">
        <f t="shared" si="8"/>
        <v>Y</v>
      </c>
      <c r="O30" s="1" t="str">
        <f t="shared" si="8"/>
        <v>Y</v>
      </c>
      <c r="P30" s="1" t="str">
        <f t="shared" si="8"/>
        <v>Y</v>
      </c>
      <c r="Q30" s="1" t="str">
        <f t="shared" si="3"/>
        <v>A</v>
      </c>
    </row>
    <row r="31" spans="1:17" x14ac:dyDescent="0.3">
      <c r="A31" s="1" t="str">
        <f t="shared" si="0"/>
        <v>A</v>
      </c>
      <c r="B31" s="1" t="str">
        <f>"EMP315"</f>
        <v>EMP315</v>
      </c>
      <c r="C31" s="1" t="str">
        <f>"경미한 백혈구수 증가"</f>
        <v>경미한 백혈구수 증가</v>
      </c>
      <c r="D31" s="1" t="str">
        <f>"일반혈액검사에서 경도의 백혈구 수치 증가 소견이 있습니다. 다른 혈구 검사에 이상이 없고 경도로 증가한 상태이므로 특별한 증상이 없다면 경과 관찰하시고 다음 정기검진시 변화 여부를 확인하시기 바랍니다."</f>
        <v>일반혈액검사에서 경도의 백혈구 수치 증가 소견이 있습니다. 다른 혈구 검사에 이상이 없고 경도로 증가한 상태이므로 특별한 증상이 없다면 경과 관찰하시고 다음 정기검진시 변화 여부를 확인하시기 바랍니다.</v>
      </c>
      <c r="E31" s="1" t="str">
        <f t="shared" si="9"/>
        <v>WOK01</v>
      </c>
      <c r="F31" s="1" t="str">
        <f t="shared" si="7"/>
        <v>PTM00</v>
      </c>
      <c r="G31" s="1" t="str">
        <f>"DISD"</f>
        <v>DISD</v>
      </c>
      <c r="H31" s="1" t="str">
        <f>"REL12"</f>
        <v>REL12</v>
      </c>
      <c r="I31" s="1" t="str">
        <f>""</f>
        <v/>
      </c>
      <c r="J31" s="1" t="str">
        <f t="shared" ref="J31:K33" si="10">"C34A"</f>
        <v>C34A</v>
      </c>
      <c r="K31" s="1" t="str">
        <f t="shared" si="10"/>
        <v>C34A</v>
      </c>
      <c r="L31" s="1" t="str">
        <f t="shared" si="1"/>
        <v>R</v>
      </c>
      <c r="M31" s="1" t="str">
        <f>"T01"</f>
        <v>T01</v>
      </c>
      <c r="N31" s="1" t="str">
        <f t="shared" si="8"/>
        <v>Y</v>
      </c>
      <c r="O31" s="1" t="str">
        <f t="shared" si="8"/>
        <v>Y</v>
      </c>
      <c r="P31" s="1" t="str">
        <f t="shared" si="8"/>
        <v>Y</v>
      </c>
      <c r="Q31" s="1" t="str">
        <f t="shared" si="3"/>
        <v>A</v>
      </c>
    </row>
    <row r="32" spans="1:17" x14ac:dyDescent="0.3">
      <c r="A32" s="1" t="str">
        <f t="shared" si="0"/>
        <v>A</v>
      </c>
      <c r="B32" s="1" t="str">
        <f>"EMP316"</f>
        <v>EMP316</v>
      </c>
      <c r="C32" s="1" t="str">
        <f>"경미한 백혈구수 감소"</f>
        <v>경미한 백혈구수 감소</v>
      </c>
      <c r="D32" s="1" t="str">
        <f>"병적 이상소견이 아니어도 일시적으로 백혈구 감소를 보일수 있습니다. 백혈구 수치에 대한 추적관찰 하세요."</f>
        <v>병적 이상소견이 아니어도 일시적으로 백혈구 감소를 보일수 있습니다. 백혈구 수치에 대한 추적관찰 하세요.</v>
      </c>
      <c r="E32" s="1" t="str">
        <f t="shared" si="9"/>
        <v>WOK01</v>
      </c>
      <c r="F32" s="1" t="str">
        <f>"PTM01"</f>
        <v>PTM01</v>
      </c>
      <c r="G32" s="1" t="str">
        <f>"DISD"</f>
        <v>DISD</v>
      </c>
      <c r="H32" s="1" t="str">
        <f>"REL12"</f>
        <v>REL12</v>
      </c>
      <c r="I32" s="1" t="str">
        <f>""</f>
        <v/>
      </c>
      <c r="J32" s="1" t="str">
        <f t="shared" si="10"/>
        <v>C34A</v>
      </c>
      <c r="K32" s="1" t="str">
        <f t="shared" si="10"/>
        <v>C34A</v>
      </c>
      <c r="L32" s="1" t="str">
        <f t="shared" si="1"/>
        <v>R</v>
      </c>
      <c r="M32" s="1" t="str">
        <f>"T01"</f>
        <v>T01</v>
      </c>
      <c r="N32" s="1" t="str">
        <f t="shared" si="8"/>
        <v>Y</v>
      </c>
      <c r="O32" s="1" t="str">
        <f t="shared" si="8"/>
        <v>Y</v>
      </c>
      <c r="P32" s="1" t="str">
        <f t="shared" si="8"/>
        <v>Y</v>
      </c>
      <c r="Q32" s="1" t="str">
        <f t="shared" si="3"/>
        <v>A</v>
      </c>
    </row>
    <row r="33" spans="1:17" x14ac:dyDescent="0.3">
      <c r="A33" s="1" t="str">
        <f t="shared" si="0"/>
        <v>A</v>
      </c>
      <c r="B33" s="1" t="str">
        <f>"EMP317"</f>
        <v>EMP317</v>
      </c>
      <c r="C33" s="1" t="str">
        <f>"경도 혈소판 감소"</f>
        <v>경도 혈소판 감소</v>
      </c>
      <c r="D33" s="1" t="str">
        <f>"병적이상소견이 아니어도 일시적으로 혈소판 감소를 보일수 있습니다. 혈소판 수치에 대한 추적관찰 하세요."</f>
        <v>병적이상소견이 아니어도 일시적으로 혈소판 감소를 보일수 있습니다. 혈소판 수치에 대한 추적관찰 하세요.</v>
      </c>
      <c r="E33" s="1" t="str">
        <f t="shared" si="9"/>
        <v>WOK01</v>
      </c>
      <c r="F33" s="1" t="str">
        <f>"PTM01"</f>
        <v>PTM01</v>
      </c>
      <c r="G33" s="1" t="str">
        <f>"DISD"</f>
        <v>DISD</v>
      </c>
      <c r="H33" s="1" t="str">
        <f>"REL12"</f>
        <v>REL12</v>
      </c>
      <c r="I33" s="1" t="str">
        <f>""</f>
        <v/>
      </c>
      <c r="J33" s="1" t="str">
        <f t="shared" si="10"/>
        <v>C34A</v>
      </c>
      <c r="K33" s="1" t="str">
        <f t="shared" si="10"/>
        <v>C34A</v>
      </c>
      <c r="L33" s="1" t="str">
        <f t="shared" si="1"/>
        <v>R</v>
      </c>
      <c r="M33" s="1" t="str">
        <f>"T01"</f>
        <v>T01</v>
      </c>
      <c r="N33" s="1" t="str">
        <f t="shared" si="8"/>
        <v>Y</v>
      </c>
      <c r="O33" s="1" t="str">
        <f t="shared" si="8"/>
        <v>Y</v>
      </c>
      <c r="P33" s="1" t="str">
        <f t="shared" si="8"/>
        <v>Y</v>
      </c>
      <c r="Q33" s="1" t="str">
        <f t="shared" si="3"/>
        <v>A</v>
      </c>
    </row>
    <row r="34" spans="1:17" x14ac:dyDescent="0.3">
      <c r="A34" s="1" t="str">
        <f t="shared" si="0"/>
        <v>A</v>
      </c>
      <c r="B34" s="1" t="str">
        <f>"EMP320"</f>
        <v>EMP320</v>
      </c>
      <c r="C34" s="1" t="str">
        <f>"정상(2차 조혈기계검사)"</f>
        <v>정상(2차 조혈기계검사)</v>
      </c>
      <c r="D34" s="1" t="str">
        <f>"1차 혈액검사상 경도의 이상소견이 있어 추가적으로 혈액도말 검사를 실시 하였으나 특이소견이 없습니다. 작업중 보호구착용을 하시고 정기적으로 추적관찰 하시길 바랍니다."</f>
        <v>1차 혈액검사상 경도의 이상소견이 있어 추가적으로 혈액도말 검사를 실시 하였으나 특이소견이 없습니다. 작업중 보호구착용을 하시고 정기적으로 추적관찰 하시길 바랍니다.</v>
      </c>
      <c r="E34" s="1" t="str">
        <f t="shared" si="9"/>
        <v>WOK01</v>
      </c>
      <c r="F34" s="1" t="str">
        <f t="shared" ref="F34:F45" si="11">"PTM00"</f>
        <v>PTM00</v>
      </c>
      <c r="G34" s="1" t="str">
        <f>"DISD"</f>
        <v>DISD</v>
      </c>
      <c r="H34" s="1" t="str">
        <f>"REL12"</f>
        <v>REL12</v>
      </c>
      <c r="I34" s="1" t="str">
        <f>""</f>
        <v/>
      </c>
      <c r="J34" s="1" t="str">
        <f>"C44A"</f>
        <v>C44A</v>
      </c>
      <c r="K34" s="1" t="str">
        <f>"C44A"</f>
        <v>C44A</v>
      </c>
      <c r="L34" s="1" t="str">
        <f t="shared" si="1"/>
        <v>R</v>
      </c>
      <c r="M34" s="1" t="str">
        <f>"T01"</f>
        <v>T01</v>
      </c>
      <c r="N34" s="1" t="str">
        <f t="shared" si="8"/>
        <v>Y</v>
      </c>
      <c r="O34" s="1" t="str">
        <f t="shared" si="8"/>
        <v>Y</v>
      </c>
      <c r="P34" s="1" t="str">
        <f t="shared" si="8"/>
        <v>Y</v>
      </c>
      <c r="Q34" s="1" t="str">
        <f t="shared" ref="Q34:Q63" si="12">"A"</f>
        <v>A</v>
      </c>
    </row>
    <row r="35" spans="1:17" x14ac:dyDescent="0.3">
      <c r="A35" s="1" t="str">
        <f t="shared" si="0"/>
        <v>A</v>
      </c>
      <c r="B35" s="1" t="str">
        <f>"EMPX01"</f>
        <v>EMPX01</v>
      </c>
      <c r="C35" s="1" t="str">
        <f>"비활동성폐결핵"</f>
        <v>비활동성폐결핵</v>
      </c>
      <c r="D35" s="1" t="str">
        <f>"흉부방사선 검사상 결핵 등 과거 염증 흔적으로 정상소견입니다."</f>
        <v>흉부방사선 검사상 결핵 등 과거 염증 흔적으로 정상소견입니다.</v>
      </c>
      <c r="E35" s="1" t="str">
        <f t="shared" si="9"/>
        <v>WOK01</v>
      </c>
      <c r="F35" s="1" t="str">
        <f t="shared" si="11"/>
        <v>PTM00</v>
      </c>
      <c r="G35" s="1" t="str">
        <f>"DISJ"</f>
        <v>DISJ</v>
      </c>
      <c r="H35" s="1" t="str">
        <f>"REL01"</f>
        <v>REL01</v>
      </c>
      <c r="I35" s="1" t="str">
        <f>""</f>
        <v/>
      </c>
      <c r="J35" s="1" t="str">
        <f>"C01A"</f>
        <v>C01A</v>
      </c>
      <c r="K35" s="1" t="str">
        <f>"C01A"</f>
        <v>C01A</v>
      </c>
      <c r="L35" s="1" t="str">
        <f t="shared" si="1"/>
        <v>R</v>
      </c>
      <c r="M35" s="1" t="str">
        <f>"T04"</f>
        <v>T04</v>
      </c>
      <c r="N35" s="1" t="str">
        <f t="shared" si="8"/>
        <v>Y</v>
      </c>
      <c r="O35" s="1" t="str">
        <f t="shared" si="8"/>
        <v>Y</v>
      </c>
      <c r="P35" s="1" t="str">
        <f t="shared" si="8"/>
        <v>Y</v>
      </c>
      <c r="Q35" s="1" t="str">
        <f t="shared" si="12"/>
        <v>A</v>
      </c>
    </row>
    <row r="36" spans="1:17" x14ac:dyDescent="0.3">
      <c r="A36" s="1" t="str">
        <f t="shared" si="0"/>
        <v>A</v>
      </c>
      <c r="B36" s="1" t="str">
        <f>"EMPX01H"</f>
        <v>EMPX01H</v>
      </c>
      <c r="C36" s="1" t="str">
        <f>"비활동성폐결핵"</f>
        <v>비활동성폐결핵</v>
      </c>
      <c r="D36" s="1" t="str">
        <f>"흉부방사선 검사상 결핵 등 과거 염증 흔적으로 정상소견입니다."</f>
        <v>흉부방사선 검사상 결핵 등 과거 염증 흔적으로 정상소견입니다.</v>
      </c>
      <c r="E36" s="1" t="str">
        <f t="shared" si="9"/>
        <v>WOK01</v>
      </c>
      <c r="F36" s="1" t="str">
        <f t="shared" si="11"/>
        <v>PTM00</v>
      </c>
      <c r="G36" s="1" t="str">
        <f>"DISJ"</f>
        <v>DISJ</v>
      </c>
      <c r="H36" s="1" t="str">
        <f>"REL01"</f>
        <v>REL01</v>
      </c>
      <c r="I36" s="1" t="str">
        <f>""</f>
        <v/>
      </c>
      <c r="J36" s="1" t="str">
        <f>"C01A"</f>
        <v>C01A</v>
      </c>
      <c r="K36" s="1" t="str">
        <f>"C01A"</f>
        <v>C01A</v>
      </c>
      <c r="L36" s="1" t="str">
        <f t="shared" si="1"/>
        <v>R</v>
      </c>
      <c r="M36" s="1" t="str">
        <f>"T04"</f>
        <v>T04</v>
      </c>
      <c r="N36" s="1" t="str">
        <f t="shared" si="8"/>
        <v>Y</v>
      </c>
      <c r="O36" s="1" t="str">
        <f t="shared" si="8"/>
        <v>Y</v>
      </c>
      <c r="P36" s="1" t="str">
        <f t="shared" si="8"/>
        <v>Y</v>
      </c>
      <c r="Q36" s="1" t="str">
        <f t="shared" si="12"/>
        <v>A</v>
      </c>
    </row>
    <row r="37" spans="1:17" x14ac:dyDescent="0.3">
      <c r="A37" s="1" t="str">
        <f t="shared" si="0"/>
        <v>A</v>
      </c>
      <c r="B37" s="1" t="str">
        <f>"EMPX03"</f>
        <v>EMPX03</v>
      </c>
      <c r="C37" s="1" t="str">
        <f>"늑막비후"</f>
        <v>늑막비후</v>
      </c>
      <c r="D37" s="1" t="str">
        <f>"과거 늑막염을 앓은 흔적으로 판단되니 증상있을 시 진료받으세요."</f>
        <v>과거 늑막염을 앓은 흔적으로 판단되니 증상있을 시 진료받으세요.</v>
      </c>
      <c r="E37" s="1" t="str">
        <f t="shared" si="9"/>
        <v>WOK01</v>
      </c>
      <c r="F37" s="1" t="str">
        <f t="shared" si="11"/>
        <v>PTM00</v>
      </c>
      <c r="G37" s="1" t="str">
        <f>"DISJ"</f>
        <v>DISJ</v>
      </c>
      <c r="H37" s="1" t="str">
        <f>"REL02"</f>
        <v>REL02</v>
      </c>
      <c r="I37" s="1" t="str">
        <f>""</f>
        <v/>
      </c>
      <c r="J37" s="1" t="str">
        <f>"C02A"</f>
        <v>C02A</v>
      </c>
      <c r="K37" s="1" t="str">
        <f>"C02A"</f>
        <v>C02A</v>
      </c>
      <c r="L37" s="1" t="str">
        <f t="shared" si="1"/>
        <v>R</v>
      </c>
      <c r="M37" s="1" t="str">
        <f>"T04"</f>
        <v>T04</v>
      </c>
      <c r="N37" s="1" t="str">
        <f t="shared" si="8"/>
        <v>Y</v>
      </c>
      <c r="O37" s="1" t="str">
        <f t="shared" si="8"/>
        <v>Y</v>
      </c>
      <c r="P37" s="1" t="str">
        <f t="shared" si="8"/>
        <v>Y</v>
      </c>
      <c r="Q37" s="1" t="str">
        <f t="shared" si="12"/>
        <v>A</v>
      </c>
    </row>
    <row r="38" spans="1:17" x14ac:dyDescent="0.3">
      <c r="A38" s="1" t="str">
        <f t="shared" si="0"/>
        <v>A</v>
      </c>
      <c r="B38" s="1" t="str">
        <f>"EMPX031H"</f>
        <v>EMPX031H</v>
      </c>
      <c r="C38" s="1" t="str">
        <f>"비활동성폐결핵"</f>
        <v>비활동성폐결핵</v>
      </c>
      <c r="D38" s="1" t="s">
        <v>7</v>
      </c>
      <c r="E38" s="1" t="str">
        <f t="shared" si="9"/>
        <v>WOK01</v>
      </c>
      <c r="F38" s="1" t="str">
        <f t="shared" si="11"/>
        <v>PTM00</v>
      </c>
      <c r="G38" s="1" t="str">
        <f>"DISJ"</f>
        <v>DISJ</v>
      </c>
      <c r="H38" s="1" t="str">
        <f>"REL01"</f>
        <v>REL01</v>
      </c>
      <c r="I38" s="1" t="str">
        <f>""</f>
        <v/>
      </c>
      <c r="J38" s="1" t="str">
        <f>"C01A"</f>
        <v>C01A</v>
      </c>
      <c r="K38" s="1" t="str">
        <f>"C01A"</f>
        <v>C01A</v>
      </c>
      <c r="L38" s="1" t="str">
        <f t="shared" si="1"/>
        <v>R</v>
      </c>
      <c r="M38" s="1" t="str">
        <f>"T04"</f>
        <v>T04</v>
      </c>
      <c r="N38" s="1" t="str">
        <f t="shared" si="8"/>
        <v>Y</v>
      </c>
      <c r="O38" s="1" t="str">
        <f t="shared" si="8"/>
        <v>Y</v>
      </c>
      <c r="P38" s="1" t="str">
        <f t="shared" si="8"/>
        <v>Y</v>
      </c>
      <c r="Q38" s="1" t="str">
        <f t="shared" si="12"/>
        <v>A</v>
      </c>
    </row>
    <row r="39" spans="1:17" x14ac:dyDescent="0.3">
      <c r="A39" s="1" t="str">
        <f t="shared" si="0"/>
        <v>A</v>
      </c>
      <c r="B39" s="1" t="str">
        <f>"EMPX06"</f>
        <v>EMPX06</v>
      </c>
      <c r="C39" s="1" t="str">
        <f>"늑골기형"</f>
        <v>늑골기형</v>
      </c>
      <c r="D39" s="1" t="str">
        <f>"늑골의 끝부위 갈라진 기형의 일종으로 건강에는 아무런 이상이 없습니다."</f>
        <v>늑골의 끝부위 갈라진 기형의 일종으로 건강에는 아무런 이상이 없습니다.</v>
      </c>
      <c r="E39" s="1" t="str">
        <f t="shared" si="9"/>
        <v>WOK01</v>
      </c>
      <c r="F39" s="1" t="str">
        <f t="shared" si="11"/>
        <v>PTM00</v>
      </c>
      <c r="G39" s="1" t="str">
        <f>"DISJ"</f>
        <v>DISJ</v>
      </c>
      <c r="H39" s="1" t="str">
        <f>"REL02"</f>
        <v>REL02</v>
      </c>
      <c r="I39" s="1" t="str">
        <f>""</f>
        <v/>
      </c>
      <c r="J39" s="1" t="str">
        <f t="shared" ref="J39:K45" si="13">"C43A"</f>
        <v>C43A</v>
      </c>
      <c r="K39" s="1" t="str">
        <f t="shared" si="13"/>
        <v>C43A</v>
      </c>
      <c r="L39" s="1" t="str">
        <f t="shared" si="1"/>
        <v>R</v>
      </c>
      <c r="M39" s="1" t="str">
        <f>"T04"</f>
        <v>T04</v>
      </c>
      <c r="N39" s="1" t="str">
        <f t="shared" si="8"/>
        <v>Y</v>
      </c>
      <c r="O39" s="1" t="str">
        <f t="shared" si="8"/>
        <v>Y</v>
      </c>
      <c r="P39" s="1" t="str">
        <f t="shared" si="8"/>
        <v>Y</v>
      </c>
      <c r="Q39" s="1" t="str">
        <f t="shared" si="12"/>
        <v>A</v>
      </c>
    </row>
    <row r="40" spans="1:17" x14ac:dyDescent="0.3">
      <c r="A40" s="1" t="str">
        <f t="shared" si="0"/>
        <v>A</v>
      </c>
      <c r="B40" s="1" t="str">
        <f>"EMPX11"</f>
        <v>EMPX11</v>
      </c>
      <c r="C40" s="1" t="str">
        <f>"경미한 요추 퇴행성변화"</f>
        <v>경미한 요추 퇴행성변화</v>
      </c>
      <c r="D40" s="1" t="str">
        <f>"연령증가에 따른 변화로 병적상태 아님"</f>
        <v>연령증가에 따른 변화로 병적상태 아님</v>
      </c>
      <c r="E40" s="1" t="str">
        <f t="shared" si="9"/>
        <v>WOK01</v>
      </c>
      <c r="F40" s="1" t="str">
        <f t="shared" si="11"/>
        <v>PTM00</v>
      </c>
      <c r="G40" s="1" t="str">
        <f t="shared" ref="G40:G45" si="14">"DISM"</f>
        <v>DISM</v>
      </c>
      <c r="H40" s="1" t="str">
        <f t="shared" ref="H40:H45" si="15">"REL22"</f>
        <v>REL22</v>
      </c>
      <c r="I40" s="1" t="str">
        <f>""</f>
        <v/>
      </c>
      <c r="J40" s="1" t="str">
        <f t="shared" si="13"/>
        <v>C43A</v>
      </c>
      <c r="K40" s="1" t="str">
        <f t="shared" si="13"/>
        <v>C43A</v>
      </c>
      <c r="L40" s="1" t="str">
        <f t="shared" si="1"/>
        <v>R</v>
      </c>
      <c r="M40" s="1" t="str">
        <f>""</f>
        <v/>
      </c>
      <c r="N40" s="1" t="str">
        <f t="shared" si="8"/>
        <v>Y</v>
      </c>
      <c r="O40" s="1" t="str">
        <f t="shared" si="8"/>
        <v>Y</v>
      </c>
      <c r="P40" s="1" t="str">
        <f t="shared" si="8"/>
        <v>Y</v>
      </c>
      <c r="Q40" s="1" t="str">
        <f t="shared" si="12"/>
        <v>A</v>
      </c>
    </row>
    <row r="41" spans="1:17" x14ac:dyDescent="0.3">
      <c r="A41" s="1" t="str">
        <f t="shared" si="0"/>
        <v>A</v>
      </c>
      <c r="B41" s="1" t="str">
        <f>"EMPX12"</f>
        <v>EMPX12</v>
      </c>
      <c r="C41" s="1" t="str">
        <f>"척추이분증(제1천추)"</f>
        <v>척추이분증(제1천추)</v>
      </c>
      <c r="D41" s="1" t="str">
        <f>"선천적 이상변화로 병적상태 아니며 근무에 지장 없습니다."</f>
        <v>선천적 이상변화로 병적상태 아니며 근무에 지장 없습니다.</v>
      </c>
      <c r="E41" s="1" t="str">
        <f t="shared" si="9"/>
        <v>WOK01</v>
      </c>
      <c r="F41" s="1" t="str">
        <f t="shared" si="11"/>
        <v>PTM00</v>
      </c>
      <c r="G41" s="1" t="str">
        <f t="shared" si="14"/>
        <v>DISM</v>
      </c>
      <c r="H41" s="1" t="str">
        <f t="shared" si="15"/>
        <v>REL22</v>
      </c>
      <c r="I41" s="1" t="str">
        <f>""</f>
        <v/>
      </c>
      <c r="J41" s="1" t="str">
        <f t="shared" si="13"/>
        <v>C43A</v>
      </c>
      <c r="K41" s="1" t="str">
        <f t="shared" si="13"/>
        <v>C43A</v>
      </c>
      <c r="L41" s="1" t="str">
        <f t="shared" si="1"/>
        <v>R</v>
      </c>
      <c r="M41" s="1" t="str">
        <f>""</f>
        <v/>
      </c>
      <c r="N41" s="1" t="str">
        <f t="shared" si="8"/>
        <v>Y</v>
      </c>
      <c r="O41" s="1" t="str">
        <f t="shared" si="8"/>
        <v>Y</v>
      </c>
      <c r="P41" s="1" t="str">
        <f t="shared" si="8"/>
        <v>Y</v>
      </c>
      <c r="Q41" s="1" t="str">
        <f t="shared" si="12"/>
        <v>A</v>
      </c>
    </row>
    <row r="42" spans="1:17" x14ac:dyDescent="0.3">
      <c r="A42" s="1" t="str">
        <f t="shared" si="0"/>
        <v>A</v>
      </c>
      <c r="B42" s="1" t="str">
        <f>"EMPX18"</f>
        <v>EMPX18</v>
      </c>
      <c r="C42" s="1" t="str">
        <f>"1번천추의 부분적 요추화 변화"</f>
        <v>1번천추의 부분적 요추화 변화</v>
      </c>
      <c r="D42" s="1" t="str">
        <f>"선천적 이상변화로 병적소견 아니며 근무에 지장 없습니다."</f>
        <v>선천적 이상변화로 병적소견 아니며 근무에 지장 없습니다.</v>
      </c>
      <c r="E42" s="1" t="str">
        <f t="shared" si="9"/>
        <v>WOK01</v>
      </c>
      <c r="F42" s="1" t="str">
        <f t="shared" si="11"/>
        <v>PTM00</v>
      </c>
      <c r="G42" s="1" t="str">
        <f t="shared" si="14"/>
        <v>DISM</v>
      </c>
      <c r="H42" s="1" t="str">
        <f t="shared" si="15"/>
        <v>REL22</v>
      </c>
      <c r="I42" s="1" t="str">
        <f>""</f>
        <v/>
      </c>
      <c r="J42" s="1" t="str">
        <f t="shared" si="13"/>
        <v>C43A</v>
      </c>
      <c r="K42" s="1" t="str">
        <f t="shared" si="13"/>
        <v>C43A</v>
      </c>
      <c r="L42" s="1" t="str">
        <f t="shared" si="1"/>
        <v>R</v>
      </c>
      <c r="M42" s="1" t="str">
        <f>""</f>
        <v/>
      </c>
      <c r="N42" s="1" t="str">
        <f t="shared" ref="N42:P61" si="16">"Y"</f>
        <v>Y</v>
      </c>
      <c r="O42" s="1" t="str">
        <f t="shared" si="16"/>
        <v>Y</v>
      </c>
      <c r="P42" s="1" t="str">
        <f t="shared" si="16"/>
        <v>Y</v>
      </c>
      <c r="Q42" s="1" t="str">
        <f t="shared" si="12"/>
        <v>A</v>
      </c>
    </row>
    <row r="43" spans="1:17" x14ac:dyDescent="0.3">
      <c r="A43" s="1" t="str">
        <f t="shared" si="0"/>
        <v>A</v>
      </c>
      <c r="B43" s="1" t="str">
        <f>"EMPX19"</f>
        <v>EMPX19</v>
      </c>
      <c r="C43" s="1" t="str">
        <f>"5번요추의 부분적 천추화 변화"</f>
        <v>5번요추의 부분적 천추화 변화</v>
      </c>
      <c r="D43" s="1" t="str">
        <f>"선천적 이상변화로 병적소견 아니며 근무에 지장 없습니다."</f>
        <v>선천적 이상변화로 병적소견 아니며 근무에 지장 없습니다.</v>
      </c>
      <c r="E43" s="1" t="str">
        <f t="shared" si="9"/>
        <v>WOK01</v>
      </c>
      <c r="F43" s="1" t="str">
        <f t="shared" si="11"/>
        <v>PTM00</v>
      </c>
      <c r="G43" s="1" t="str">
        <f t="shared" si="14"/>
        <v>DISM</v>
      </c>
      <c r="H43" s="1" t="str">
        <f t="shared" si="15"/>
        <v>REL22</v>
      </c>
      <c r="I43" s="1" t="str">
        <f>""</f>
        <v/>
      </c>
      <c r="J43" s="1" t="str">
        <f t="shared" si="13"/>
        <v>C43A</v>
      </c>
      <c r="K43" s="1" t="str">
        <f t="shared" si="13"/>
        <v>C43A</v>
      </c>
      <c r="L43" s="1" t="str">
        <f t="shared" si="1"/>
        <v>R</v>
      </c>
      <c r="M43" s="1" t="str">
        <f>""</f>
        <v/>
      </c>
      <c r="N43" s="1" t="str">
        <f t="shared" si="16"/>
        <v>Y</v>
      </c>
      <c r="O43" s="1" t="str">
        <f t="shared" si="16"/>
        <v>Y</v>
      </c>
      <c r="P43" s="1" t="str">
        <f t="shared" si="16"/>
        <v>Y</v>
      </c>
      <c r="Q43" s="1" t="str">
        <f t="shared" si="12"/>
        <v>A</v>
      </c>
    </row>
    <row r="44" spans="1:17" x14ac:dyDescent="0.3">
      <c r="A44" s="1" t="str">
        <f t="shared" si="0"/>
        <v>A</v>
      </c>
      <c r="B44" s="1" t="str">
        <f>"EMPX21"</f>
        <v>EMPX21</v>
      </c>
      <c r="C44" s="1" t="str">
        <f>"변연척추(limbus vertebra)"</f>
        <v>변연척추(limbus vertebra)</v>
      </c>
      <c r="D44" s="1" t="str">
        <f>"척추변연부에 부골화점이 있는 것으로 특별한 병적소견 아니며 근무에는 지장없습니다.."</f>
        <v>척추변연부에 부골화점이 있는 것으로 특별한 병적소견 아니며 근무에는 지장없습니다..</v>
      </c>
      <c r="E44" s="1" t="str">
        <f t="shared" si="9"/>
        <v>WOK01</v>
      </c>
      <c r="F44" s="1" t="str">
        <f t="shared" si="11"/>
        <v>PTM00</v>
      </c>
      <c r="G44" s="1" t="str">
        <f t="shared" si="14"/>
        <v>DISM</v>
      </c>
      <c r="H44" s="1" t="str">
        <f t="shared" si="15"/>
        <v>REL22</v>
      </c>
      <c r="I44" s="1" t="str">
        <f>""</f>
        <v/>
      </c>
      <c r="J44" s="1" t="str">
        <f t="shared" si="13"/>
        <v>C43A</v>
      </c>
      <c r="K44" s="1" t="str">
        <f t="shared" si="13"/>
        <v>C43A</v>
      </c>
      <c r="L44" s="1" t="str">
        <f t="shared" si="1"/>
        <v>R</v>
      </c>
      <c r="M44" s="1" t="str">
        <f>""</f>
        <v/>
      </c>
      <c r="N44" s="1" t="str">
        <f t="shared" si="16"/>
        <v>Y</v>
      </c>
      <c r="O44" s="1" t="str">
        <f t="shared" si="16"/>
        <v>Y</v>
      </c>
      <c r="P44" s="1" t="str">
        <f t="shared" si="16"/>
        <v>Y</v>
      </c>
      <c r="Q44" s="1" t="str">
        <f t="shared" si="12"/>
        <v>A</v>
      </c>
    </row>
    <row r="45" spans="1:17" x14ac:dyDescent="0.3">
      <c r="A45" s="1" t="str">
        <f t="shared" si="0"/>
        <v>A</v>
      </c>
      <c r="B45" s="1" t="str">
        <f>"EMPX22"</f>
        <v>EMPX22</v>
      </c>
      <c r="C45" s="1" t="str">
        <f>"개방천골관"</f>
        <v>개방천골관</v>
      </c>
      <c r="D45" s="1" t="str">
        <f>"천골의 선천기형으로 병적소견아니며 근무에는 지장 없습니다."</f>
        <v>천골의 선천기형으로 병적소견아니며 근무에는 지장 없습니다.</v>
      </c>
      <c r="E45" s="1" t="str">
        <f t="shared" si="9"/>
        <v>WOK01</v>
      </c>
      <c r="F45" s="1" t="str">
        <f t="shared" si="11"/>
        <v>PTM00</v>
      </c>
      <c r="G45" s="1" t="str">
        <f t="shared" si="14"/>
        <v>DISM</v>
      </c>
      <c r="H45" s="1" t="str">
        <f t="shared" si="15"/>
        <v>REL22</v>
      </c>
      <c r="I45" s="1" t="str">
        <f>""</f>
        <v/>
      </c>
      <c r="J45" s="1" t="str">
        <f t="shared" si="13"/>
        <v>C43A</v>
      </c>
      <c r="K45" s="1" t="str">
        <f t="shared" si="13"/>
        <v>C43A</v>
      </c>
      <c r="L45" s="1" t="str">
        <f t="shared" si="1"/>
        <v>R</v>
      </c>
      <c r="M45" s="1" t="str">
        <f>""</f>
        <v/>
      </c>
      <c r="N45" s="1" t="str">
        <f t="shared" si="16"/>
        <v>Y</v>
      </c>
      <c r="O45" s="1" t="str">
        <f t="shared" si="16"/>
        <v>Y</v>
      </c>
      <c r="P45" s="1" t="str">
        <f t="shared" si="16"/>
        <v>Y</v>
      </c>
      <c r="Q45" s="1" t="str">
        <f t="shared" si="12"/>
        <v>A</v>
      </c>
    </row>
    <row r="46" spans="1:17" x14ac:dyDescent="0.3">
      <c r="A46" s="1" t="str">
        <f t="shared" si="0"/>
        <v>A</v>
      </c>
      <c r="B46" s="1" t="str">
        <f>"ET002"</f>
        <v>ET002</v>
      </c>
      <c r="C46" s="1" t="str">
        <f>"(치주상태)치석형성"</f>
        <v>(치주상태)치석형성</v>
      </c>
      <c r="D46" s="1" t="str">
        <f>"구강검진 상 치석 소견입니다. 가까운 치과 내원하여 스케일링 바랍니다."</f>
        <v>구강검진 상 치석 소견입니다. 가까운 치과 내원하여 스케일링 바랍니다.</v>
      </c>
      <c r="E46" s="1" t="str">
        <f t="shared" si="9"/>
        <v>WOK01</v>
      </c>
      <c r="F46" s="1" t="str">
        <f>"PTM03"</f>
        <v>PTM03</v>
      </c>
      <c r="G46" s="1" t="str">
        <f>"DISR"</f>
        <v>DISR</v>
      </c>
      <c r="H46" s="1" t="str">
        <f>"REL00"</f>
        <v>REL00</v>
      </c>
      <c r="I46" s="1" t="str">
        <f>""</f>
        <v/>
      </c>
      <c r="J46" s="1" t="str">
        <f>"C30A"</f>
        <v>C30A</v>
      </c>
      <c r="K46" s="1" t="str">
        <f>"C30A"</f>
        <v>C30A</v>
      </c>
      <c r="L46" s="1" t="str">
        <f t="shared" si="1"/>
        <v>R</v>
      </c>
      <c r="M46" s="1" t="str">
        <f>"T11"</f>
        <v>T11</v>
      </c>
      <c r="N46" s="1" t="str">
        <f t="shared" si="16"/>
        <v>Y</v>
      </c>
      <c r="O46" s="1" t="str">
        <f t="shared" si="16"/>
        <v>Y</v>
      </c>
      <c r="P46" s="1" t="str">
        <f t="shared" si="16"/>
        <v>Y</v>
      </c>
      <c r="Q46" s="1" t="str">
        <f t="shared" si="12"/>
        <v>A</v>
      </c>
    </row>
    <row r="47" spans="1:17" x14ac:dyDescent="0.3">
      <c r="A47" s="1" t="str">
        <f t="shared" si="0"/>
        <v>A</v>
      </c>
      <c r="B47" s="1" t="str">
        <f>"FGHCV101"</f>
        <v>FGHCV101</v>
      </c>
      <c r="C47" s="1" t="str">
        <f>"(감염성 질환) 특이소견 없음"</f>
        <v>(감염성 질환) 특이소견 없음</v>
      </c>
      <c r="D47" s="1" t="str">
        <f>"특이소견 없습니다."</f>
        <v>특이소견 없습니다.</v>
      </c>
      <c r="E47" s="1" t="str">
        <f t="shared" si="9"/>
        <v>WOK01</v>
      </c>
      <c r="F47" s="1" t="str">
        <f t="shared" ref="F47:F57" si="17">"PTM00"</f>
        <v>PTM00</v>
      </c>
      <c r="G47" s="1" t="str">
        <f>""</f>
        <v/>
      </c>
      <c r="H47" s="1" t="str">
        <f>"REL30"</f>
        <v>REL30</v>
      </c>
      <c r="I47" s="1" t="str">
        <f t="shared" ref="I47:I62" si="18">"P0601"</f>
        <v>P0601</v>
      </c>
      <c r="J47" s="1" t="str">
        <f>""</f>
        <v/>
      </c>
      <c r="K47" s="1" t="str">
        <f>""</f>
        <v/>
      </c>
      <c r="L47" s="1" t="str">
        <f t="shared" si="1"/>
        <v>R</v>
      </c>
      <c r="M47" s="1" t="str">
        <f>"T031"</f>
        <v>T031</v>
      </c>
      <c r="N47" s="1" t="str">
        <f t="shared" si="16"/>
        <v>Y</v>
      </c>
      <c r="O47" s="1" t="str">
        <f t="shared" si="16"/>
        <v>Y</v>
      </c>
      <c r="P47" s="1" t="str">
        <f t="shared" si="16"/>
        <v>Y</v>
      </c>
      <c r="Q47" s="1" t="str">
        <f t="shared" si="12"/>
        <v>A</v>
      </c>
    </row>
    <row r="48" spans="1:17" x14ac:dyDescent="0.3">
      <c r="A48" s="1" t="str">
        <f t="shared" si="0"/>
        <v>A</v>
      </c>
      <c r="B48" s="1" t="str">
        <f>"FGNBP101"</f>
        <v>FGNBP101</v>
      </c>
      <c r="C48" s="1" t="str">
        <f>"특이소견 없음"</f>
        <v>특이소견 없음</v>
      </c>
      <c r="D48" s="1" t="str">
        <f>"특이소견 없습니다."</f>
        <v>특이소견 없습니다.</v>
      </c>
      <c r="E48" s="1" t="str">
        <f t="shared" si="9"/>
        <v>WOK01</v>
      </c>
      <c r="F48" s="1" t="str">
        <f t="shared" si="17"/>
        <v>PTM00</v>
      </c>
      <c r="G48" s="1" t="str">
        <f>""</f>
        <v/>
      </c>
      <c r="H48" s="1" t="str">
        <f t="shared" ref="H48:H62" si="19">"REL06"</f>
        <v>REL06</v>
      </c>
      <c r="I48" s="1" t="str">
        <f t="shared" si="18"/>
        <v>P0601</v>
      </c>
      <c r="J48" s="1" t="str">
        <f>""</f>
        <v/>
      </c>
      <c r="K48" s="1" t="str">
        <f>""</f>
        <v/>
      </c>
      <c r="L48" s="1" t="str">
        <f t="shared" si="1"/>
        <v>R</v>
      </c>
      <c r="M48" s="1" t="str">
        <f>"T031"</f>
        <v>T031</v>
      </c>
      <c r="N48" s="1" t="str">
        <f t="shared" si="16"/>
        <v>Y</v>
      </c>
      <c r="O48" s="1" t="str">
        <f t="shared" si="16"/>
        <v>Y</v>
      </c>
      <c r="P48" s="1" t="str">
        <f t="shared" si="16"/>
        <v>Y</v>
      </c>
      <c r="Q48" s="1" t="str">
        <f t="shared" si="12"/>
        <v>A</v>
      </c>
    </row>
    <row r="49" spans="1:17" x14ac:dyDescent="0.3">
      <c r="A49" s="1" t="str">
        <f t="shared" si="0"/>
        <v>A</v>
      </c>
      <c r="B49" s="1" t="str">
        <f>"FGNCUS101"</f>
        <v>FGNCUS101</v>
      </c>
      <c r="C49" s="1" t="str">
        <f>"(경동맥 초음파) 특이소견 없음"</f>
        <v>(경동맥 초음파) 특이소견 없음</v>
      </c>
      <c r="D49" s="1" t="str">
        <f>"특이소견 없습니다."</f>
        <v>특이소견 없습니다.</v>
      </c>
      <c r="E49" s="1" t="str">
        <f t="shared" si="9"/>
        <v>WOK01</v>
      </c>
      <c r="F49" s="1" t="str">
        <f t="shared" si="17"/>
        <v>PTM00</v>
      </c>
      <c r="G49" s="1" t="str">
        <f>""</f>
        <v/>
      </c>
      <c r="H49" s="1" t="str">
        <f t="shared" si="19"/>
        <v>REL06</v>
      </c>
      <c r="I49" s="1" t="str">
        <f t="shared" si="18"/>
        <v>P0601</v>
      </c>
      <c r="J49" s="1" t="str">
        <f>""</f>
        <v/>
      </c>
      <c r="K49" s="1" t="str">
        <f>""</f>
        <v/>
      </c>
      <c r="L49" s="1" t="str">
        <f t="shared" si="1"/>
        <v>R</v>
      </c>
      <c r="M49" s="1" t="str">
        <f>"T03"</f>
        <v>T03</v>
      </c>
      <c r="N49" s="1" t="str">
        <f t="shared" si="16"/>
        <v>Y</v>
      </c>
      <c r="O49" s="1" t="str">
        <f t="shared" si="16"/>
        <v>Y</v>
      </c>
      <c r="P49" s="1" t="str">
        <f t="shared" si="16"/>
        <v>Y</v>
      </c>
      <c r="Q49" s="1" t="str">
        <f t="shared" si="12"/>
        <v>A</v>
      </c>
    </row>
    <row r="50" spans="1:17" x14ac:dyDescent="0.3">
      <c r="A50" s="1" t="str">
        <f t="shared" si="0"/>
        <v>A</v>
      </c>
      <c r="B50" s="1" t="str">
        <f>"FGNDL101"</f>
        <v>FGNDL101</v>
      </c>
      <c r="C50" s="1" t="str">
        <f>"특이소견 없음"</f>
        <v>특이소견 없음</v>
      </c>
      <c r="D50" s="1" t="str">
        <f>"특이소견 없습니다."</f>
        <v>특이소견 없습니다.</v>
      </c>
      <c r="E50" s="1" t="str">
        <f t="shared" si="9"/>
        <v>WOK01</v>
      </c>
      <c r="F50" s="1" t="str">
        <f t="shared" si="17"/>
        <v>PTM00</v>
      </c>
      <c r="G50" s="1" t="str">
        <f>""</f>
        <v/>
      </c>
      <c r="H50" s="1" t="str">
        <f t="shared" si="19"/>
        <v>REL06</v>
      </c>
      <c r="I50" s="1" t="str">
        <f t="shared" si="18"/>
        <v>P0601</v>
      </c>
      <c r="J50" s="1" t="str">
        <f>""</f>
        <v/>
      </c>
      <c r="K50" s="1" t="str">
        <f>""</f>
        <v/>
      </c>
      <c r="L50" s="1" t="str">
        <f t="shared" si="1"/>
        <v>R</v>
      </c>
      <c r="M50" s="1" t="str">
        <f>"T031"</f>
        <v>T031</v>
      </c>
      <c r="N50" s="1" t="str">
        <f t="shared" si="16"/>
        <v>Y</v>
      </c>
      <c r="O50" s="1" t="str">
        <f t="shared" si="16"/>
        <v>Y</v>
      </c>
      <c r="P50" s="1" t="str">
        <f t="shared" si="16"/>
        <v>Y</v>
      </c>
      <c r="Q50" s="1" t="str">
        <f t="shared" si="12"/>
        <v>A</v>
      </c>
    </row>
    <row r="51" spans="1:17" x14ac:dyDescent="0.3">
      <c r="A51" s="1" t="str">
        <f t="shared" si="0"/>
        <v>A</v>
      </c>
      <c r="B51" s="1" t="str">
        <f>"FGNDM101"</f>
        <v>FGNDM101</v>
      </c>
      <c r="C51" s="1" t="str">
        <f>"특이소견 없음"</f>
        <v>특이소견 없음</v>
      </c>
      <c r="D51" s="1" t="str">
        <f>"특이소견 없습니다."</f>
        <v>특이소견 없습니다.</v>
      </c>
      <c r="E51" s="1" t="str">
        <f t="shared" si="9"/>
        <v>WOK01</v>
      </c>
      <c r="F51" s="1" t="str">
        <f t="shared" si="17"/>
        <v>PTM00</v>
      </c>
      <c r="G51" s="1" t="str">
        <f>""</f>
        <v/>
      </c>
      <c r="H51" s="1" t="str">
        <f t="shared" si="19"/>
        <v>REL06</v>
      </c>
      <c r="I51" s="1" t="str">
        <f t="shared" si="18"/>
        <v>P0601</v>
      </c>
      <c r="J51" s="1" t="str">
        <f>""</f>
        <v/>
      </c>
      <c r="K51" s="1" t="str">
        <f>""</f>
        <v/>
      </c>
      <c r="L51" s="1" t="str">
        <f t="shared" si="1"/>
        <v>R</v>
      </c>
      <c r="M51" s="1" t="str">
        <f>"T211"</f>
        <v>T211</v>
      </c>
      <c r="N51" s="1" t="str">
        <f t="shared" si="16"/>
        <v>Y</v>
      </c>
      <c r="O51" s="1" t="str">
        <f t="shared" si="16"/>
        <v>Y</v>
      </c>
      <c r="P51" s="1" t="str">
        <f t="shared" si="16"/>
        <v>Y</v>
      </c>
      <c r="Q51" s="1" t="str">
        <f t="shared" si="12"/>
        <v>A</v>
      </c>
    </row>
    <row r="52" spans="1:17" x14ac:dyDescent="0.3">
      <c r="A52" s="1" t="str">
        <f t="shared" si="0"/>
        <v>A</v>
      </c>
      <c r="B52" s="1" t="str">
        <f>"FGNEKG101"</f>
        <v>FGNEKG101</v>
      </c>
      <c r="C52" s="1" t="str">
        <f>"특이소견 없음"</f>
        <v>특이소견 없음</v>
      </c>
      <c r="D52" s="1" t="str">
        <f>"심전도상 특이소견 없습니다."</f>
        <v>심전도상 특이소견 없습니다.</v>
      </c>
      <c r="E52" s="1" t="str">
        <f t="shared" si="9"/>
        <v>WOK01</v>
      </c>
      <c r="F52" s="1" t="str">
        <f t="shared" si="17"/>
        <v>PTM00</v>
      </c>
      <c r="G52" s="1" t="str">
        <f t="shared" ref="G52:G62" si="20">"DISI"</f>
        <v>DISI</v>
      </c>
      <c r="H52" s="1" t="str">
        <f t="shared" si="19"/>
        <v>REL06</v>
      </c>
      <c r="I52" s="1" t="str">
        <f t="shared" si="18"/>
        <v>P0601</v>
      </c>
      <c r="J52" s="1" t="str">
        <f>""</f>
        <v/>
      </c>
      <c r="K52" s="1" t="str">
        <f>""</f>
        <v/>
      </c>
      <c r="L52" s="1" t="str">
        <f t="shared" si="1"/>
        <v>R</v>
      </c>
      <c r="M52" s="1" t="str">
        <f t="shared" ref="M52:M62" si="21">"T031"</f>
        <v>T031</v>
      </c>
      <c r="N52" s="1" t="str">
        <f t="shared" si="16"/>
        <v>Y</v>
      </c>
      <c r="O52" s="1" t="str">
        <f t="shared" si="16"/>
        <v>Y</v>
      </c>
      <c r="P52" s="1" t="str">
        <f t="shared" si="16"/>
        <v>Y</v>
      </c>
      <c r="Q52" s="1" t="str">
        <f t="shared" si="12"/>
        <v>A</v>
      </c>
    </row>
    <row r="53" spans="1:17" x14ac:dyDescent="0.3">
      <c r="A53" s="1" t="str">
        <f t="shared" si="0"/>
        <v>A</v>
      </c>
      <c r="B53" s="1" t="str">
        <f>"FGNEKG102"</f>
        <v>FGNEKG102</v>
      </c>
      <c r="C53" s="1" t="str">
        <f>"동성서맥"</f>
        <v>동성서맥</v>
      </c>
      <c r="D53" s="1" t="s">
        <v>8</v>
      </c>
      <c r="E53" s="1" t="str">
        <f t="shared" si="9"/>
        <v>WOK01</v>
      </c>
      <c r="F53" s="1" t="str">
        <f t="shared" si="17"/>
        <v>PTM00</v>
      </c>
      <c r="G53" s="1" t="str">
        <f t="shared" si="20"/>
        <v>DISI</v>
      </c>
      <c r="H53" s="1" t="str">
        <f t="shared" si="19"/>
        <v>REL06</v>
      </c>
      <c r="I53" s="1" t="str">
        <f t="shared" si="18"/>
        <v>P0601</v>
      </c>
      <c r="J53" s="1" t="str">
        <f>""</f>
        <v/>
      </c>
      <c r="K53" s="1" t="str">
        <f>""</f>
        <v/>
      </c>
      <c r="L53" s="1" t="str">
        <f t="shared" si="1"/>
        <v>R</v>
      </c>
      <c r="M53" s="1" t="str">
        <f t="shared" si="21"/>
        <v>T031</v>
      </c>
      <c r="N53" s="1" t="str">
        <f t="shared" si="16"/>
        <v>Y</v>
      </c>
      <c r="O53" s="1" t="str">
        <f t="shared" si="16"/>
        <v>Y</v>
      </c>
      <c r="P53" s="1" t="str">
        <f t="shared" si="16"/>
        <v>Y</v>
      </c>
      <c r="Q53" s="1" t="str">
        <f t="shared" si="12"/>
        <v>A</v>
      </c>
    </row>
    <row r="54" spans="1:17" x14ac:dyDescent="0.3">
      <c r="A54" s="1" t="str">
        <f t="shared" si="0"/>
        <v>A</v>
      </c>
      <c r="B54" s="1" t="str">
        <f>"FGNEKG103"</f>
        <v>FGNEKG103</v>
      </c>
      <c r="C54" s="1" t="str">
        <f>"동성빈맥"</f>
        <v>동성빈맥</v>
      </c>
      <c r="D54" s="1" t="str">
        <f>"대개는 치료가 필요하지는 않으나 빈맥이 지속되는 경우 원인에 대한 추적검사는 필요할 수 있습니다."</f>
        <v>대개는 치료가 필요하지는 않으나 빈맥이 지속되는 경우 원인에 대한 추적검사는 필요할 수 있습니다.</v>
      </c>
      <c r="E54" s="1" t="str">
        <f t="shared" si="9"/>
        <v>WOK01</v>
      </c>
      <c r="F54" s="1" t="str">
        <f t="shared" si="17"/>
        <v>PTM00</v>
      </c>
      <c r="G54" s="1" t="str">
        <f t="shared" si="20"/>
        <v>DISI</v>
      </c>
      <c r="H54" s="1" t="str">
        <f t="shared" si="19"/>
        <v>REL06</v>
      </c>
      <c r="I54" s="1" t="str">
        <f t="shared" si="18"/>
        <v>P0601</v>
      </c>
      <c r="J54" s="1" t="str">
        <f>""</f>
        <v/>
      </c>
      <c r="K54" s="1" t="str">
        <f>""</f>
        <v/>
      </c>
      <c r="L54" s="1" t="str">
        <f t="shared" si="1"/>
        <v>R</v>
      </c>
      <c r="M54" s="1" t="str">
        <f t="shared" si="21"/>
        <v>T031</v>
      </c>
      <c r="N54" s="1" t="str">
        <f t="shared" si="16"/>
        <v>Y</v>
      </c>
      <c r="O54" s="1" t="str">
        <f t="shared" si="16"/>
        <v>Y</v>
      </c>
      <c r="P54" s="1" t="str">
        <f t="shared" si="16"/>
        <v>Y</v>
      </c>
      <c r="Q54" s="1" t="str">
        <f t="shared" si="12"/>
        <v>A</v>
      </c>
    </row>
    <row r="55" spans="1:17" x14ac:dyDescent="0.3">
      <c r="A55" s="1" t="str">
        <f t="shared" si="0"/>
        <v>A</v>
      </c>
      <c r="B55" s="1" t="str">
        <f>"FGNEKG104"</f>
        <v>FGNEKG104</v>
      </c>
      <c r="C55" s="1" t="str">
        <f>"동성부정맥"</f>
        <v>동성부정맥</v>
      </c>
      <c r="D55" s="1" t="str">
        <f>"심전도상 동성부정맥이 관찰됩니다. 정상인도 많이 보이는 소견이므로 치료가 필요하지 않습니다."</f>
        <v>심전도상 동성부정맥이 관찰됩니다. 정상인도 많이 보이는 소견이므로 치료가 필요하지 않습니다.</v>
      </c>
      <c r="E55" s="1" t="str">
        <f t="shared" si="9"/>
        <v>WOK01</v>
      </c>
      <c r="F55" s="1" t="str">
        <f t="shared" si="17"/>
        <v>PTM00</v>
      </c>
      <c r="G55" s="1" t="str">
        <f t="shared" si="20"/>
        <v>DISI</v>
      </c>
      <c r="H55" s="1" t="str">
        <f t="shared" si="19"/>
        <v>REL06</v>
      </c>
      <c r="I55" s="1" t="str">
        <f t="shared" si="18"/>
        <v>P0601</v>
      </c>
      <c r="J55" s="1" t="str">
        <f>""</f>
        <v/>
      </c>
      <c r="K55" s="1" t="str">
        <f>""</f>
        <v/>
      </c>
      <c r="L55" s="1" t="str">
        <f t="shared" si="1"/>
        <v>R</v>
      </c>
      <c r="M55" s="1" t="str">
        <f t="shared" si="21"/>
        <v>T031</v>
      </c>
      <c r="N55" s="1" t="str">
        <f t="shared" si="16"/>
        <v>Y</v>
      </c>
      <c r="O55" s="1" t="str">
        <f t="shared" si="16"/>
        <v>Y</v>
      </c>
      <c r="P55" s="1" t="str">
        <f t="shared" si="16"/>
        <v>Y</v>
      </c>
      <c r="Q55" s="1" t="str">
        <f t="shared" si="12"/>
        <v>A</v>
      </c>
    </row>
    <row r="56" spans="1:17" x14ac:dyDescent="0.3">
      <c r="A56" s="1" t="str">
        <f t="shared" si="0"/>
        <v>A</v>
      </c>
      <c r="B56" s="1" t="str">
        <f>"FGNEKG105"</f>
        <v>FGNEKG105</v>
      </c>
      <c r="C56" s="1" t="str">
        <f>"1도 방실차단"</f>
        <v>1도 방실차단</v>
      </c>
      <c r="D56" s="1" t="s">
        <v>9</v>
      </c>
      <c r="E56" s="1" t="str">
        <f t="shared" si="9"/>
        <v>WOK01</v>
      </c>
      <c r="F56" s="1" t="str">
        <f t="shared" si="17"/>
        <v>PTM00</v>
      </c>
      <c r="G56" s="1" t="str">
        <f t="shared" si="20"/>
        <v>DISI</v>
      </c>
      <c r="H56" s="1" t="str">
        <f t="shared" si="19"/>
        <v>REL06</v>
      </c>
      <c r="I56" s="1" t="str">
        <f t="shared" si="18"/>
        <v>P0601</v>
      </c>
      <c r="J56" s="1" t="str">
        <f>""</f>
        <v/>
      </c>
      <c r="K56" s="1" t="str">
        <f>""</f>
        <v/>
      </c>
      <c r="L56" s="1" t="str">
        <f t="shared" si="1"/>
        <v>R</v>
      </c>
      <c r="M56" s="1" t="str">
        <f t="shared" si="21"/>
        <v>T031</v>
      </c>
      <c r="N56" s="1" t="str">
        <f t="shared" si="16"/>
        <v>Y</v>
      </c>
      <c r="O56" s="1" t="str">
        <f t="shared" si="16"/>
        <v>Y</v>
      </c>
      <c r="P56" s="1" t="str">
        <f t="shared" si="16"/>
        <v>Y</v>
      </c>
      <c r="Q56" s="1" t="str">
        <f t="shared" si="12"/>
        <v>A</v>
      </c>
    </row>
    <row r="57" spans="1:17" x14ac:dyDescent="0.3">
      <c r="A57" s="1" t="str">
        <f t="shared" si="0"/>
        <v>A</v>
      </c>
      <c r="B57" s="1" t="str">
        <f>"FGNEKG106"</f>
        <v>FGNEKG106</v>
      </c>
      <c r="C57" s="1" t="str">
        <f>"우각차단"</f>
        <v>우각차단</v>
      </c>
      <c r="D57" s="1" t="s">
        <v>10</v>
      </c>
      <c r="E57" s="1" t="str">
        <f t="shared" si="9"/>
        <v>WOK01</v>
      </c>
      <c r="F57" s="1" t="str">
        <f t="shared" si="17"/>
        <v>PTM00</v>
      </c>
      <c r="G57" s="1" t="str">
        <f t="shared" si="20"/>
        <v>DISI</v>
      </c>
      <c r="H57" s="1" t="str">
        <f t="shared" si="19"/>
        <v>REL06</v>
      </c>
      <c r="I57" s="1" t="str">
        <f t="shared" si="18"/>
        <v>P0601</v>
      </c>
      <c r="J57" s="1" t="str">
        <f>""</f>
        <v/>
      </c>
      <c r="K57" s="1" t="str">
        <f>""</f>
        <v/>
      </c>
      <c r="L57" s="1" t="str">
        <f t="shared" si="1"/>
        <v>R</v>
      </c>
      <c r="M57" s="1" t="str">
        <f t="shared" si="21"/>
        <v>T031</v>
      </c>
      <c r="N57" s="1" t="str">
        <f t="shared" si="16"/>
        <v>Y</v>
      </c>
      <c r="O57" s="1" t="str">
        <f t="shared" si="16"/>
        <v>Y</v>
      </c>
      <c r="P57" s="1" t="str">
        <f t="shared" si="16"/>
        <v>Y</v>
      </c>
      <c r="Q57" s="1" t="str">
        <f t="shared" si="12"/>
        <v>A</v>
      </c>
    </row>
    <row r="58" spans="1:17" x14ac:dyDescent="0.3">
      <c r="A58" s="1" t="str">
        <f t="shared" si="0"/>
        <v>A</v>
      </c>
      <c r="B58" s="1" t="str">
        <f>"FGNEKG107"</f>
        <v>FGNEKG107</v>
      </c>
      <c r="C58" s="1" t="str">
        <f>"심방조기수축"</f>
        <v>심방조기수축</v>
      </c>
      <c r="D58" s="1" t="str">
        <f>""</f>
        <v/>
      </c>
      <c r="E58" s="1" t="str">
        <f>"WOK02"</f>
        <v>WOK02</v>
      </c>
      <c r="F58" s="1" t="str">
        <f>"PTM01"</f>
        <v>PTM01</v>
      </c>
      <c r="G58" s="1" t="str">
        <f t="shared" si="20"/>
        <v>DISI</v>
      </c>
      <c r="H58" s="1" t="str">
        <f t="shared" si="19"/>
        <v>REL06</v>
      </c>
      <c r="I58" s="1" t="str">
        <f t="shared" si="18"/>
        <v>P0601</v>
      </c>
      <c r="J58" s="1" t="str">
        <f>""</f>
        <v/>
      </c>
      <c r="K58" s="1" t="str">
        <f>""</f>
        <v/>
      </c>
      <c r="L58" s="1" t="str">
        <f t="shared" si="1"/>
        <v>R</v>
      </c>
      <c r="M58" s="1" t="str">
        <f t="shared" si="21"/>
        <v>T031</v>
      </c>
      <c r="N58" s="1" t="str">
        <f t="shared" si="16"/>
        <v>Y</v>
      </c>
      <c r="O58" s="1" t="str">
        <f t="shared" si="16"/>
        <v>Y</v>
      </c>
      <c r="P58" s="1" t="str">
        <f t="shared" si="16"/>
        <v>Y</v>
      </c>
      <c r="Q58" s="1" t="str">
        <f t="shared" si="12"/>
        <v>A</v>
      </c>
    </row>
    <row r="59" spans="1:17" x14ac:dyDescent="0.3">
      <c r="A59" s="1" t="str">
        <f t="shared" si="0"/>
        <v>A</v>
      </c>
      <c r="B59" s="1" t="str">
        <f>"FGNEKG108"</f>
        <v>FGNEKG108</v>
      </c>
      <c r="C59" s="1" t="str">
        <f>"심실조기수축"</f>
        <v>심실조기수축</v>
      </c>
      <c r="D59" s="1" t="str">
        <f>""</f>
        <v/>
      </c>
      <c r="E59" s="1" t="str">
        <f>"WOK02"</f>
        <v>WOK02</v>
      </c>
      <c r="F59" s="1" t="str">
        <f>"PTM01"</f>
        <v>PTM01</v>
      </c>
      <c r="G59" s="1" t="str">
        <f t="shared" si="20"/>
        <v>DISI</v>
      </c>
      <c r="H59" s="1" t="str">
        <f t="shared" si="19"/>
        <v>REL06</v>
      </c>
      <c r="I59" s="1" t="str">
        <f t="shared" si="18"/>
        <v>P0601</v>
      </c>
      <c r="J59" s="1" t="str">
        <f>""</f>
        <v/>
      </c>
      <c r="K59" s="1" t="str">
        <f>""</f>
        <v/>
      </c>
      <c r="L59" s="1" t="str">
        <f t="shared" si="1"/>
        <v>R</v>
      </c>
      <c r="M59" s="1" t="str">
        <f t="shared" si="21"/>
        <v>T031</v>
      </c>
      <c r="N59" s="1" t="str">
        <f t="shared" si="16"/>
        <v>Y</v>
      </c>
      <c r="O59" s="1" t="str">
        <f t="shared" si="16"/>
        <v>Y</v>
      </c>
      <c r="P59" s="1" t="str">
        <f t="shared" si="16"/>
        <v>Y</v>
      </c>
      <c r="Q59" s="1" t="str">
        <f t="shared" si="12"/>
        <v>A</v>
      </c>
    </row>
    <row r="60" spans="1:17" x14ac:dyDescent="0.3">
      <c r="A60" s="1" t="str">
        <f t="shared" si="0"/>
        <v>A</v>
      </c>
      <c r="B60" s="1" t="str">
        <f>"FGNEKG109"</f>
        <v>FGNEKG109</v>
      </c>
      <c r="C60" s="1" t="str">
        <f>"좌각차단"</f>
        <v>좌각차단</v>
      </c>
      <c r="D60" s="1" t="s">
        <v>11</v>
      </c>
      <c r="E60" s="1" t="str">
        <f>"WOK01"</f>
        <v>WOK01</v>
      </c>
      <c r="F60" s="1" t="str">
        <f>"PTM00"</f>
        <v>PTM00</v>
      </c>
      <c r="G60" s="1" t="str">
        <f t="shared" si="20"/>
        <v>DISI</v>
      </c>
      <c r="H60" s="1" t="str">
        <f t="shared" si="19"/>
        <v>REL06</v>
      </c>
      <c r="I60" s="1" t="str">
        <f t="shared" si="18"/>
        <v>P0601</v>
      </c>
      <c r="J60" s="1" t="str">
        <f>""</f>
        <v/>
      </c>
      <c r="K60" s="1" t="str">
        <f>""</f>
        <v/>
      </c>
      <c r="L60" s="1" t="str">
        <f t="shared" si="1"/>
        <v>R</v>
      </c>
      <c r="M60" s="1" t="str">
        <f t="shared" si="21"/>
        <v>T031</v>
      </c>
      <c r="N60" s="1" t="str">
        <f t="shared" si="16"/>
        <v>Y</v>
      </c>
      <c r="O60" s="1" t="str">
        <f t="shared" si="16"/>
        <v>Y</v>
      </c>
      <c r="P60" s="1" t="str">
        <f t="shared" si="16"/>
        <v>Y</v>
      </c>
      <c r="Q60" s="1" t="str">
        <f t="shared" si="12"/>
        <v>A</v>
      </c>
    </row>
    <row r="61" spans="1:17" x14ac:dyDescent="0.3">
      <c r="A61" s="1" t="str">
        <f t="shared" si="0"/>
        <v>A</v>
      </c>
      <c r="B61" s="1" t="str">
        <f>"FGNEKG110"</f>
        <v>FGNEKG110</v>
      </c>
      <c r="C61" s="1" t="str">
        <f>"좌축편위"</f>
        <v>좌축편위</v>
      </c>
      <c r="D61" s="1" t="s">
        <v>12</v>
      </c>
      <c r="E61" s="1" t="str">
        <f>"WOK01"</f>
        <v>WOK01</v>
      </c>
      <c r="F61" s="1" t="str">
        <f>"PTM00"</f>
        <v>PTM00</v>
      </c>
      <c r="G61" s="1" t="str">
        <f t="shared" si="20"/>
        <v>DISI</v>
      </c>
      <c r="H61" s="1" t="str">
        <f t="shared" si="19"/>
        <v>REL06</v>
      </c>
      <c r="I61" s="1" t="str">
        <f t="shared" si="18"/>
        <v>P0601</v>
      </c>
      <c r="J61" s="1" t="str">
        <f>""</f>
        <v/>
      </c>
      <c r="K61" s="1" t="str">
        <f>""</f>
        <v/>
      </c>
      <c r="L61" s="1" t="str">
        <f t="shared" si="1"/>
        <v>R</v>
      </c>
      <c r="M61" s="1" t="str">
        <f t="shared" si="21"/>
        <v>T031</v>
      </c>
      <c r="N61" s="1" t="str">
        <f t="shared" si="16"/>
        <v>Y</v>
      </c>
      <c r="O61" s="1" t="str">
        <f t="shared" si="16"/>
        <v>Y</v>
      </c>
      <c r="P61" s="1" t="str">
        <f t="shared" si="16"/>
        <v>Y</v>
      </c>
      <c r="Q61" s="1" t="str">
        <f t="shared" si="12"/>
        <v>A</v>
      </c>
    </row>
    <row r="62" spans="1:17" x14ac:dyDescent="0.3">
      <c r="A62" s="1" t="str">
        <f t="shared" si="0"/>
        <v>A</v>
      </c>
      <c r="B62" s="1" t="str">
        <f>"FGNEKG111"</f>
        <v>FGNEKG111</v>
      </c>
      <c r="C62" s="1" t="str">
        <f>"우축편위"</f>
        <v>우축편위</v>
      </c>
      <c r="D62" s="1" t="s">
        <v>13</v>
      </c>
      <c r="E62" s="1" t="str">
        <f>"WOK01"</f>
        <v>WOK01</v>
      </c>
      <c r="F62" s="1" t="str">
        <f>"PTM00"</f>
        <v>PTM00</v>
      </c>
      <c r="G62" s="1" t="str">
        <f t="shared" si="20"/>
        <v>DISI</v>
      </c>
      <c r="H62" s="1" t="str">
        <f t="shared" si="19"/>
        <v>REL06</v>
      </c>
      <c r="I62" s="1" t="str">
        <f t="shared" si="18"/>
        <v>P0601</v>
      </c>
      <c r="J62" s="1" t="str">
        <f>""</f>
        <v/>
      </c>
      <c r="K62" s="1" t="str">
        <f>""</f>
        <v/>
      </c>
      <c r="L62" s="1" t="str">
        <f t="shared" si="1"/>
        <v>R</v>
      </c>
      <c r="M62" s="1" t="str">
        <f t="shared" si="21"/>
        <v>T031</v>
      </c>
      <c r="N62" s="1" t="str">
        <f t="shared" ref="N62:P81" si="22">"Y"</f>
        <v>Y</v>
      </c>
      <c r="O62" s="1" t="str">
        <f t="shared" si="22"/>
        <v>Y</v>
      </c>
      <c r="P62" s="1" t="str">
        <f t="shared" si="22"/>
        <v>Y</v>
      </c>
      <c r="Q62" s="1" t="str">
        <f t="shared" si="12"/>
        <v>A</v>
      </c>
    </row>
    <row r="63" spans="1:17" x14ac:dyDescent="0.3">
      <c r="A63" s="1" t="str">
        <f t="shared" si="0"/>
        <v>A</v>
      </c>
      <c r="B63" s="1" t="str">
        <f>"FGNLMR101"</f>
        <v>FGNLMR101</v>
      </c>
      <c r="C63" s="1" t="str">
        <f>"정상 요추 MRI"</f>
        <v>정상 요추 MRI</v>
      </c>
      <c r="D63" s="1" t="str">
        <f>"요추 MRI 결과 특이소견 없습니다."</f>
        <v>요추 MRI 결과 특이소견 없습니다.</v>
      </c>
      <c r="E63" s="1" t="str">
        <f>""</f>
        <v/>
      </c>
      <c r="F63" s="1" t="str">
        <f>""</f>
        <v/>
      </c>
      <c r="G63" s="1" t="str">
        <f>""</f>
        <v/>
      </c>
      <c r="H63" s="1" t="str">
        <f>"REL22"</f>
        <v>REL22</v>
      </c>
      <c r="I63" s="1" t="str">
        <f>"HWFIRE17"</f>
        <v>HWFIRE17</v>
      </c>
      <c r="J63" s="1" t="str">
        <f>""</f>
        <v/>
      </c>
      <c r="K63" s="1" t="str">
        <f>""</f>
        <v/>
      </c>
      <c r="L63" s="1" t="str">
        <f t="shared" si="1"/>
        <v>R</v>
      </c>
      <c r="M63" s="1" t="str">
        <f>""</f>
        <v/>
      </c>
      <c r="N63" s="1" t="str">
        <f t="shared" si="22"/>
        <v>Y</v>
      </c>
      <c r="O63" s="1" t="str">
        <f t="shared" si="22"/>
        <v>Y</v>
      </c>
      <c r="P63" s="1" t="str">
        <f t="shared" si="22"/>
        <v>Y</v>
      </c>
      <c r="Q63" s="1" t="str">
        <f t="shared" si="12"/>
        <v>A</v>
      </c>
    </row>
    <row r="64" spans="1:17" x14ac:dyDescent="0.3">
      <c r="A64" s="1" t="str">
        <f t="shared" si="0"/>
        <v>A</v>
      </c>
      <c r="B64" s="1" t="str">
        <f>"FJ0068"</f>
        <v>FJ0068</v>
      </c>
      <c r="C64" s="1" t="str">
        <f>"(우측)청력정상"</f>
        <v>(우측)청력정상</v>
      </c>
      <c r="D64" s="1" t="str">
        <f>"청력검사상 정상소견"</f>
        <v>청력검사상 정상소견</v>
      </c>
      <c r="E64" s="1" t="str">
        <f>"WOK01"</f>
        <v>WOK01</v>
      </c>
      <c r="F64" s="1" t="str">
        <f>"PTM00"</f>
        <v>PTM00</v>
      </c>
      <c r="G64" s="1" t="str">
        <f>"DISH"</f>
        <v>DISH</v>
      </c>
      <c r="H64" s="1" t="str">
        <f>"REL19"</f>
        <v>REL19</v>
      </c>
      <c r="I64" s="1" t="str">
        <f>"01"</f>
        <v>01</v>
      </c>
      <c r="J64" s="1" t="str">
        <f>"C38A"</f>
        <v>C38A</v>
      </c>
      <c r="K64" s="1" t="str">
        <f>"C38A"</f>
        <v>C38A</v>
      </c>
      <c r="L64" s="1" t="str">
        <f t="shared" si="1"/>
        <v>R</v>
      </c>
      <c r="M64" s="1" t="str">
        <f>"T10"</f>
        <v>T10</v>
      </c>
      <c r="N64" s="1" t="str">
        <f t="shared" si="22"/>
        <v>Y</v>
      </c>
      <c r="O64" s="1" t="str">
        <f t="shared" si="22"/>
        <v>Y</v>
      </c>
      <c r="P64" s="1" t="str">
        <f t="shared" si="22"/>
        <v>Y</v>
      </c>
      <c r="Q64" s="1" t="str">
        <f>"R"</f>
        <v>R</v>
      </c>
    </row>
    <row r="65" spans="1:17" x14ac:dyDescent="0.3">
      <c r="A65" s="1" t="str">
        <f t="shared" si="0"/>
        <v>A</v>
      </c>
      <c r="B65" s="1" t="str">
        <f>"FLUCA01"</f>
        <v>FLUCA01</v>
      </c>
      <c r="C65" s="1" t="str">
        <f>"정상"</f>
        <v>정상</v>
      </c>
      <c r="D65" s="1" t="str">
        <f>"저선량 폐CT 결과 특이 소견은 없습니다. 다음 번 주기에 맞추어 검진을 받으시기 바랍니다."</f>
        <v>저선량 폐CT 결과 특이 소견은 없습니다. 다음 번 주기에 맞추어 검진을 받으시기 바랍니다.</v>
      </c>
      <c r="E65" s="1" t="str">
        <f>"WOK01"</f>
        <v>WOK01</v>
      </c>
      <c r="F65" s="1" t="str">
        <f>"PTF00"</f>
        <v>PTF00</v>
      </c>
      <c r="G65" s="1" t="str">
        <f>""</f>
        <v/>
      </c>
      <c r="H65" s="1" t="str">
        <f>""</f>
        <v/>
      </c>
      <c r="I65" s="1" t="str">
        <f>""</f>
        <v/>
      </c>
      <c r="J65" s="1" t="str">
        <f>"S01A"</f>
        <v>S01A</v>
      </c>
      <c r="K65" s="1" t="str">
        <f>"S01A"</f>
        <v>S01A</v>
      </c>
      <c r="L65" s="1" t="str">
        <f t="shared" si="1"/>
        <v>R</v>
      </c>
      <c r="M65" s="1" t="str">
        <f>""</f>
        <v/>
      </c>
      <c r="N65" s="1" t="str">
        <f t="shared" si="22"/>
        <v>Y</v>
      </c>
      <c r="O65" s="1" t="str">
        <f t="shared" si="22"/>
        <v>Y</v>
      </c>
      <c r="P65" s="1" t="str">
        <f t="shared" si="22"/>
        <v>Y</v>
      </c>
      <c r="Q65" s="1" t="str">
        <f t="shared" ref="Q65:Q85" si="23">"A"</f>
        <v>A</v>
      </c>
    </row>
    <row r="66" spans="1:17" x14ac:dyDescent="0.3">
      <c r="A66" s="1" t="str">
        <f t="shared" ref="A66:A129" si="24">"A"</f>
        <v>A</v>
      </c>
      <c r="B66" s="1" t="str">
        <f>"GGFS001"</f>
        <v>GGFS001</v>
      </c>
      <c r="C66" s="1" t="str">
        <f>"정상 위내시경"</f>
        <v>정상 위내시경</v>
      </c>
      <c r="D66" s="1" t="str">
        <f>"위내시경 검사 결과 특이소견 없습니다. 정기 검진 바랍니다."</f>
        <v>위내시경 검사 결과 특이소견 없습니다. 정기 검진 바랍니다.</v>
      </c>
      <c r="E66" s="1" t="str">
        <f>""</f>
        <v/>
      </c>
      <c r="F66" s="1" t="str">
        <f>""</f>
        <v/>
      </c>
      <c r="G66" s="1" t="str">
        <f>""</f>
        <v/>
      </c>
      <c r="H66" s="1" t="str">
        <f>""</f>
        <v/>
      </c>
      <c r="I66" s="1" t="str">
        <f>""</f>
        <v/>
      </c>
      <c r="J66" s="1" t="str">
        <f>""</f>
        <v/>
      </c>
      <c r="K66" s="1" t="str">
        <f>""</f>
        <v/>
      </c>
      <c r="L66" s="1" t="str">
        <f t="shared" ref="L66:L129" si="25">"R"</f>
        <v>R</v>
      </c>
      <c r="M66" s="1" t="str">
        <f>""</f>
        <v/>
      </c>
      <c r="N66" s="1" t="str">
        <f t="shared" si="22"/>
        <v>Y</v>
      </c>
      <c r="O66" s="1" t="str">
        <f t="shared" si="22"/>
        <v>Y</v>
      </c>
      <c r="P66" s="1" t="str">
        <f t="shared" si="22"/>
        <v>Y</v>
      </c>
      <c r="Q66" s="1" t="str">
        <f t="shared" si="23"/>
        <v>A</v>
      </c>
    </row>
    <row r="67" spans="1:17" x14ac:dyDescent="0.3">
      <c r="A67" s="1" t="str">
        <f t="shared" si="24"/>
        <v>A</v>
      </c>
      <c r="B67" s="1" t="str">
        <f>"GHJD0"</f>
        <v>GHJD0</v>
      </c>
      <c r="C67" s="1" t="str">
        <f>"비타민 정상"</f>
        <v>비타민 정상</v>
      </c>
      <c r="D67" s="1" t="str">
        <f>"비타민 검사결과 정상범위에 있습니다."</f>
        <v>비타민 검사결과 정상범위에 있습니다.</v>
      </c>
      <c r="E67" s="1" t="str">
        <f>""</f>
        <v/>
      </c>
      <c r="F67" s="1" t="str">
        <f>""</f>
        <v/>
      </c>
      <c r="G67" s="1" t="str">
        <f>""</f>
        <v/>
      </c>
      <c r="H67" s="1" t="str">
        <f>""</f>
        <v/>
      </c>
      <c r="I67" s="1" t="str">
        <f>""</f>
        <v/>
      </c>
      <c r="J67" s="1" t="str">
        <f>""</f>
        <v/>
      </c>
      <c r="K67" s="1" t="str">
        <f>""</f>
        <v/>
      </c>
      <c r="L67" s="1" t="str">
        <f t="shared" si="25"/>
        <v>R</v>
      </c>
      <c r="M67" s="1" t="str">
        <f>""</f>
        <v/>
      </c>
      <c r="N67" s="1" t="str">
        <f t="shared" si="22"/>
        <v>Y</v>
      </c>
      <c r="O67" s="1" t="str">
        <f t="shared" si="22"/>
        <v>Y</v>
      </c>
      <c r="P67" s="1" t="str">
        <f t="shared" si="22"/>
        <v>Y</v>
      </c>
      <c r="Q67" s="1" t="str">
        <f t="shared" si="23"/>
        <v>A</v>
      </c>
    </row>
    <row r="68" spans="1:17" x14ac:dyDescent="0.3">
      <c r="A68" s="1" t="str">
        <f t="shared" si="24"/>
        <v>A</v>
      </c>
      <c r="B68" s="1" t="str">
        <f>"GNAFP01"</f>
        <v>GNAFP01</v>
      </c>
      <c r="C68" s="1" t="str">
        <f>"AFP 정상"</f>
        <v>AFP 정상</v>
      </c>
      <c r="D68" s="1" t="s">
        <v>14</v>
      </c>
      <c r="E68" s="1" t="str">
        <f>"WOK02"</f>
        <v>WOK02</v>
      </c>
      <c r="F68" s="1" t="str">
        <f>""</f>
        <v/>
      </c>
      <c r="G68" s="1" t="str">
        <f>"DISK"</f>
        <v>DISK</v>
      </c>
      <c r="H68" s="1" t="str">
        <f>"REL05"</f>
        <v>REL05</v>
      </c>
      <c r="I68" s="1" t="str">
        <f>""</f>
        <v/>
      </c>
      <c r="J68" s="1" t="str">
        <f>""</f>
        <v/>
      </c>
      <c r="K68" s="1" t="str">
        <f>""</f>
        <v/>
      </c>
      <c r="L68" s="1" t="str">
        <f t="shared" si="25"/>
        <v>R</v>
      </c>
      <c r="M68" s="1" t="str">
        <f>"T02"</f>
        <v>T02</v>
      </c>
      <c r="N68" s="1" t="str">
        <f t="shared" si="22"/>
        <v>Y</v>
      </c>
      <c r="O68" s="1" t="str">
        <f t="shared" si="22"/>
        <v>Y</v>
      </c>
      <c r="P68" s="1" t="str">
        <f t="shared" si="22"/>
        <v>Y</v>
      </c>
      <c r="Q68" s="1" t="str">
        <f t="shared" si="23"/>
        <v>A</v>
      </c>
    </row>
    <row r="69" spans="1:17" x14ac:dyDescent="0.3">
      <c r="A69" s="1" t="str">
        <f t="shared" si="24"/>
        <v>A</v>
      </c>
      <c r="B69" s="1" t="str">
        <f>"GNBRUSG01"</f>
        <v>GNBRUSG01</v>
      </c>
      <c r="C69" s="1" t="str">
        <f>"(유방초음파) 특이소견 없음"</f>
        <v>(유방초음파) 특이소견 없음</v>
      </c>
      <c r="D69" s="1" t="s">
        <v>15</v>
      </c>
      <c r="E69" s="1" t="str">
        <f>"WOK01"</f>
        <v>WOK01</v>
      </c>
      <c r="F69" s="1" t="str">
        <f>"PTM00"</f>
        <v>PTM00</v>
      </c>
      <c r="G69" s="1" t="str">
        <f>""</f>
        <v/>
      </c>
      <c r="H69" s="1" t="str">
        <f>"REL11"</f>
        <v>REL11</v>
      </c>
      <c r="I69" s="1" t="str">
        <f>""</f>
        <v/>
      </c>
      <c r="J69" s="1" t="str">
        <f>""</f>
        <v/>
      </c>
      <c r="K69" s="1" t="str">
        <f>""</f>
        <v/>
      </c>
      <c r="L69" s="1" t="str">
        <f t="shared" si="25"/>
        <v>R</v>
      </c>
      <c r="M69" s="1" t="str">
        <f>"T21"</f>
        <v>T21</v>
      </c>
      <c r="N69" s="1" t="str">
        <f t="shared" si="22"/>
        <v>Y</v>
      </c>
      <c r="O69" s="1" t="str">
        <f t="shared" si="22"/>
        <v>Y</v>
      </c>
      <c r="P69" s="1" t="str">
        <f t="shared" si="22"/>
        <v>Y</v>
      </c>
      <c r="Q69" s="1" t="str">
        <f t="shared" si="23"/>
        <v>A</v>
      </c>
    </row>
    <row r="70" spans="1:17" x14ac:dyDescent="0.3">
      <c r="A70" s="1" t="str">
        <f t="shared" si="24"/>
        <v>A</v>
      </c>
      <c r="B70" s="1" t="str">
        <f>"GNCA12501"</f>
        <v>GNCA12501</v>
      </c>
      <c r="C70" s="1" t="str">
        <f>"CA-125 정상"</f>
        <v>CA-125 정상</v>
      </c>
      <c r="D70" s="1" t="s">
        <v>16</v>
      </c>
      <c r="E70" s="1" t="str">
        <f>""</f>
        <v/>
      </c>
      <c r="F70" s="1" t="str">
        <f>""</f>
        <v/>
      </c>
      <c r="G70" s="1" t="str">
        <f>""</f>
        <v/>
      </c>
      <c r="H70" s="1" t="str">
        <f>""</f>
        <v/>
      </c>
      <c r="I70" s="1" t="str">
        <f>""</f>
        <v/>
      </c>
      <c r="J70" s="1" t="str">
        <f>""</f>
        <v/>
      </c>
      <c r="K70" s="1" t="str">
        <f>""</f>
        <v/>
      </c>
      <c r="L70" s="1" t="str">
        <f t="shared" si="25"/>
        <v>R</v>
      </c>
      <c r="M70" s="1" t="str">
        <f>""</f>
        <v/>
      </c>
      <c r="N70" s="1" t="str">
        <f t="shared" si="22"/>
        <v>Y</v>
      </c>
      <c r="O70" s="1" t="str">
        <f t="shared" si="22"/>
        <v>Y</v>
      </c>
      <c r="P70" s="1" t="str">
        <f t="shared" si="22"/>
        <v>Y</v>
      </c>
      <c r="Q70" s="1" t="str">
        <f t="shared" si="23"/>
        <v>A</v>
      </c>
    </row>
    <row r="71" spans="1:17" x14ac:dyDescent="0.3">
      <c r="A71" s="1" t="str">
        <f t="shared" si="24"/>
        <v>A</v>
      </c>
      <c r="B71" s="1" t="str">
        <f>"GNCA1901"</f>
        <v>GNCA1901</v>
      </c>
      <c r="C71" s="1" t="str">
        <f>"CA19-9 정상"</f>
        <v>CA19-9 정상</v>
      </c>
      <c r="D71" s="1" t="s">
        <v>17</v>
      </c>
      <c r="E71" s="1" t="str">
        <f>""</f>
        <v/>
      </c>
      <c r="F71" s="1" t="str">
        <f>""</f>
        <v/>
      </c>
      <c r="G71" s="1" t="str">
        <f>""</f>
        <v/>
      </c>
      <c r="H71" s="1" t="str">
        <f>""</f>
        <v/>
      </c>
      <c r="I71" s="1" t="str">
        <f>""</f>
        <v/>
      </c>
      <c r="J71" s="1" t="str">
        <f>""</f>
        <v/>
      </c>
      <c r="K71" s="1" t="str">
        <f>""</f>
        <v/>
      </c>
      <c r="L71" s="1" t="str">
        <f t="shared" si="25"/>
        <v>R</v>
      </c>
      <c r="M71" s="1" t="str">
        <f>""</f>
        <v/>
      </c>
      <c r="N71" s="1" t="str">
        <f t="shared" si="22"/>
        <v>Y</v>
      </c>
      <c r="O71" s="1" t="str">
        <f t="shared" si="22"/>
        <v>Y</v>
      </c>
      <c r="P71" s="1" t="str">
        <f t="shared" si="22"/>
        <v>Y</v>
      </c>
      <c r="Q71" s="1" t="str">
        <f t="shared" si="23"/>
        <v>A</v>
      </c>
    </row>
    <row r="72" spans="1:17" x14ac:dyDescent="0.3">
      <c r="A72" s="1" t="str">
        <f t="shared" si="24"/>
        <v>A</v>
      </c>
      <c r="B72" s="1" t="str">
        <f>"GNCEA01"</f>
        <v>GNCEA01</v>
      </c>
      <c r="C72" s="1" t="str">
        <f>"CEA 정상"</f>
        <v>CEA 정상</v>
      </c>
      <c r="D72" s="1" t="s">
        <v>18</v>
      </c>
      <c r="E72" s="1" t="str">
        <f>""</f>
        <v/>
      </c>
      <c r="F72" s="1" t="str">
        <f>""</f>
        <v/>
      </c>
      <c r="G72" s="1" t="str">
        <f>""</f>
        <v/>
      </c>
      <c r="H72" s="1" t="str">
        <f>""</f>
        <v/>
      </c>
      <c r="I72" s="1" t="str">
        <f>""</f>
        <v/>
      </c>
      <c r="J72" s="1" t="str">
        <f>""</f>
        <v/>
      </c>
      <c r="K72" s="1" t="str">
        <f>""</f>
        <v/>
      </c>
      <c r="L72" s="1" t="str">
        <f t="shared" si="25"/>
        <v>R</v>
      </c>
      <c r="M72" s="1" t="str">
        <f>""</f>
        <v/>
      </c>
      <c r="N72" s="1" t="str">
        <f t="shared" si="22"/>
        <v>Y</v>
      </c>
      <c r="O72" s="1" t="str">
        <f t="shared" si="22"/>
        <v>Y</v>
      </c>
      <c r="P72" s="1" t="str">
        <f t="shared" si="22"/>
        <v>Y</v>
      </c>
      <c r="Q72" s="1" t="str">
        <f t="shared" si="23"/>
        <v>A</v>
      </c>
    </row>
    <row r="73" spans="1:17" x14ac:dyDescent="0.3">
      <c r="A73" s="1" t="str">
        <f t="shared" si="24"/>
        <v>A</v>
      </c>
      <c r="B73" s="1" t="str">
        <f>"GNCHOL01"</f>
        <v>GNCHOL01</v>
      </c>
      <c r="C73" s="1" t="str">
        <f>"정상"</f>
        <v>정상</v>
      </c>
      <c r="D73" s="1" t="str">
        <f>""</f>
        <v/>
      </c>
      <c r="E73" s="1" t="str">
        <f>"WOK01"</f>
        <v>WOK01</v>
      </c>
      <c r="F73" s="1" t="str">
        <f>"PTM00"</f>
        <v>PTM00</v>
      </c>
      <c r="G73" s="1" t="str">
        <f>"DISE"</f>
        <v>DISE</v>
      </c>
      <c r="H73" s="1" t="str">
        <f>"REL04"</f>
        <v>REL04</v>
      </c>
      <c r="I73" s="1" t="str">
        <f>""</f>
        <v/>
      </c>
      <c r="J73" s="1" t="str">
        <f>"C04C"</f>
        <v>C04C</v>
      </c>
      <c r="K73" s="1" t="str">
        <f>"C04C"</f>
        <v>C04C</v>
      </c>
      <c r="L73" s="1" t="str">
        <f t="shared" si="25"/>
        <v>R</v>
      </c>
      <c r="M73" s="1" t="str">
        <f>"T03"</f>
        <v>T03</v>
      </c>
      <c r="N73" s="1" t="str">
        <f t="shared" si="22"/>
        <v>Y</v>
      </c>
      <c r="O73" s="1" t="str">
        <f t="shared" si="22"/>
        <v>Y</v>
      </c>
      <c r="P73" s="1" t="str">
        <f t="shared" si="22"/>
        <v>Y</v>
      </c>
      <c r="Q73" s="1" t="str">
        <f t="shared" si="23"/>
        <v>A</v>
      </c>
    </row>
    <row r="74" spans="1:17" x14ac:dyDescent="0.3">
      <c r="A74" s="1" t="str">
        <f t="shared" si="24"/>
        <v>A</v>
      </c>
      <c r="B74" s="1" t="str">
        <f>"GNCHOL11"</f>
        <v>GNCHOL11</v>
      </c>
      <c r="C74" s="1" t="str">
        <f>"이상지질혈증 이상소견없음"</f>
        <v>이상지질혈증 이상소견없음</v>
      </c>
      <c r="D74" s="1" t="s">
        <v>19</v>
      </c>
      <c r="E74" s="1" t="str">
        <f>"WOK01"</f>
        <v>WOK01</v>
      </c>
      <c r="F74" s="1" t="str">
        <f>""</f>
        <v/>
      </c>
      <c r="G74" s="1" t="str">
        <f>"DISE"</f>
        <v>DISE</v>
      </c>
      <c r="H74" s="1" t="str">
        <f>"REL04"</f>
        <v>REL04</v>
      </c>
      <c r="I74" s="1" t="str">
        <f>""</f>
        <v/>
      </c>
      <c r="J74" s="1" t="str">
        <f>""</f>
        <v/>
      </c>
      <c r="K74" s="1" t="str">
        <f>""</f>
        <v/>
      </c>
      <c r="L74" s="1" t="str">
        <f t="shared" si="25"/>
        <v>R</v>
      </c>
      <c r="M74" s="1" t="str">
        <f>"T03"</f>
        <v>T03</v>
      </c>
      <c r="N74" s="1" t="str">
        <f t="shared" si="22"/>
        <v>Y</v>
      </c>
      <c r="O74" s="1" t="str">
        <f t="shared" si="22"/>
        <v>Y</v>
      </c>
      <c r="P74" s="1" t="str">
        <f t="shared" si="22"/>
        <v>Y</v>
      </c>
      <c r="Q74" s="1" t="str">
        <f t="shared" si="23"/>
        <v>A</v>
      </c>
    </row>
    <row r="75" spans="1:17" x14ac:dyDescent="0.3">
      <c r="A75" s="1" t="str">
        <f t="shared" si="24"/>
        <v>A</v>
      </c>
      <c r="B75" s="1" t="str">
        <f>"GNDM971"</f>
        <v>GNDM971</v>
      </c>
      <c r="C75" s="1" t="str">
        <f>"당화혈색소 정상"</f>
        <v>당화혈색소 정상</v>
      </c>
      <c r="D75" s="1" t="str">
        <f>"당화혈색소가 정상으로 측정되었습니다."</f>
        <v>당화혈색소가 정상으로 측정되었습니다.</v>
      </c>
      <c r="E75" s="1" t="str">
        <f>""</f>
        <v/>
      </c>
      <c r="F75" s="1" t="str">
        <f>""</f>
        <v/>
      </c>
      <c r="G75" s="1" t="str">
        <f>""</f>
        <v/>
      </c>
      <c r="H75" s="1" t="str">
        <f>"REL07"</f>
        <v>REL07</v>
      </c>
      <c r="I75" s="1" t="str">
        <f>""</f>
        <v/>
      </c>
      <c r="J75" s="1" t="str">
        <f>""</f>
        <v/>
      </c>
      <c r="K75" s="1" t="str">
        <f>""</f>
        <v/>
      </c>
      <c r="L75" s="1" t="str">
        <f t="shared" si="25"/>
        <v>R</v>
      </c>
      <c r="M75" s="1" t="str">
        <f>"T211"</f>
        <v>T211</v>
      </c>
      <c r="N75" s="1" t="str">
        <f t="shared" si="22"/>
        <v>Y</v>
      </c>
      <c r="O75" s="1" t="str">
        <f t="shared" si="22"/>
        <v>Y</v>
      </c>
      <c r="P75" s="1" t="str">
        <f t="shared" si="22"/>
        <v>Y</v>
      </c>
      <c r="Q75" s="1" t="str">
        <f t="shared" si="23"/>
        <v>A</v>
      </c>
    </row>
    <row r="76" spans="1:17" x14ac:dyDescent="0.3">
      <c r="A76" s="1" t="str">
        <f t="shared" si="24"/>
        <v>A</v>
      </c>
      <c r="B76" s="1" t="str">
        <f>"GNECHO01"</f>
        <v>GNECHO01</v>
      </c>
      <c r="C76" s="1" t="str">
        <f>"▶  특이소견 없음"</f>
        <v>▶  특이소견 없음</v>
      </c>
      <c r="D76" s="1" t="str">
        <f>""</f>
        <v/>
      </c>
      <c r="E76" s="1" t="str">
        <f t="shared" ref="E76:E84" si="26">"WOK01"</f>
        <v>WOK01</v>
      </c>
      <c r="F76" s="1" t="str">
        <f t="shared" ref="F76:F83" si="27">"PTM00"</f>
        <v>PTM00</v>
      </c>
      <c r="G76" s="1" t="str">
        <f>""</f>
        <v/>
      </c>
      <c r="H76" s="1" t="str">
        <f>"REL06"</f>
        <v>REL06</v>
      </c>
      <c r="I76" s="1" t="str">
        <f>"P0601"</f>
        <v>P0601</v>
      </c>
      <c r="J76" s="1" t="str">
        <f>""</f>
        <v/>
      </c>
      <c r="K76" s="1" t="str">
        <f>""</f>
        <v/>
      </c>
      <c r="L76" s="1" t="str">
        <f t="shared" si="25"/>
        <v>R</v>
      </c>
      <c r="M76" s="1" t="str">
        <f>"T031"</f>
        <v>T031</v>
      </c>
      <c r="N76" s="1" t="str">
        <f t="shared" si="22"/>
        <v>Y</v>
      </c>
      <c r="O76" s="1" t="str">
        <f t="shared" si="22"/>
        <v>Y</v>
      </c>
      <c r="P76" s="1" t="str">
        <f t="shared" si="22"/>
        <v>Y</v>
      </c>
      <c r="Q76" s="1" t="str">
        <f t="shared" si="23"/>
        <v>A</v>
      </c>
    </row>
    <row r="77" spans="1:17" x14ac:dyDescent="0.3">
      <c r="A77" s="1" t="str">
        <f t="shared" si="24"/>
        <v>A</v>
      </c>
      <c r="B77" s="1" t="str">
        <f>"GNHEM01"</f>
        <v>GNHEM01</v>
      </c>
      <c r="C77" s="1" t="str">
        <f>"정상"</f>
        <v>정상</v>
      </c>
      <c r="D77" s="1" t="str">
        <f>""</f>
        <v/>
      </c>
      <c r="E77" s="1" t="str">
        <f t="shared" si="26"/>
        <v>WOK01</v>
      </c>
      <c r="F77" s="1" t="str">
        <f t="shared" si="27"/>
        <v>PTM00</v>
      </c>
      <c r="G77" s="1" t="str">
        <f>"DISD"</f>
        <v>DISD</v>
      </c>
      <c r="H77" s="1" t="str">
        <f>"REL12"</f>
        <v>REL12</v>
      </c>
      <c r="I77" s="1" t="str">
        <f>""</f>
        <v/>
      </c>
      <c r="J77" s="1" t="str">
        <f>"S01A"</f>
        <v>S01A</v>
      </c>
      <c r="K77" s="1" t="str">
        <f>"S01A"</f>
        <v>S01A</v>
      </c>
      <c r="L77" s="1" t="str">
        <f t="shared" si="25"/>
        <v>R</v>
      </c>
      <c r="M77" s="1" t="str">
        <f>"T01"</f>
        <v>T01</v>
      </c>
      <c r="N77" s="1" t="str">
        <f t="shared" si="22"/>
        <v>Y</v>
      </c>
      <c r="O77" s="1" t="str">
        <f t="shared" si="22"/>
        <v>Y</v>
      </c>
      <c r="P77" s="1" t="str">
        <f t="shared" si="22"/>
        <v>Y</v>
      </c>
      <c r="Q77" s="1" t="str">
        <f t="shared" si="23"/>
        <v>A</v>
      </c>
    </row>
    <row r="78" spans="1:17" x14ac:dyDescent="0.3">
      <c r="A78" s="1" t="str">
        <f t="shared" si="24"/>
        <v>A</v>
      </c>
      <c r="B78" s="1" t="str">
        <f>"GNKNMR00"</f>
        <v>GNKNMR00</v>
      </c>
      <c r="C78" s="1" t="str">
        <f>"특이소견 없음"</f>
        <v>특이소견 없음</v>
      </c>
      <c r="D78" s="1" t="str">
        <f>"▶ 무릎 MRI 검사상 특이소견 없습니다."</f>
        <v>▶ 무릎 MRI 검사상 특이소견 없습니다.</v>
      </c>
      <c r="E78" s="1" t="str">
        <f t="shared" si="26"/>
        <v>WOK01</v>
      </c>
      <c r="F78" s="1" t="str">
        <f t="shared" si="27"/>
        <v>PTM00</v>
      </c>
      <c r="G78" s="1" t="str">
        <f>""</f>
        <v/>
      </c>
      <c r="H78" s="1" t="str">
        <f>"REL22"</f>
        <v>REL22</v>
      </c>
      <c r="I78" s="1" t="str">
        <f>""</f>
        <v/>
      </c>
      <c r="J78" s="1" t="str">
        <f>""</f>
        <v/>
      </c>
      <c r="K78" s="1" t="str">
        <f>""</f>
        <v/>
      </c>
      <c r="L78" s="1" t="str">
        <f t="shared" si="25"/>
        <v>R</v>
      </c>
      <c r="M78" s="1" t="str">
        <f>""</f>
        <v/>
      </c>
      <c r="N78" s="1" t="str">
        <f t="shared" si="22"/>
        <v>Y</v>
      </c>
      <c r="O78" s="1" t="str">
        <f t="shared" si="22"/>
        <v>Y</v>
      </c>
      <c r="P78" s="1" t="str">
        <f t="shared" si="22"/>
        <v>Y</v>
      </c>
      <c r="Q78" s="1" t="str">
        <f t="shared" si="23"/>
        <v>A</v>
      </c>
    </row>
    <row r="79" spans="1:17" x14ac:dyDescent="0.3">
      <c r="A79" s="1" t="str">
        <f t="shared" si="24"/>
        <v>A</v>
      </c>
      <c r="B79" s="1" t="str">
        <f>"GNLDCT01"</f>
        <v>GNLDCT01</v>
      </c>
      <c r="C79" s="1" t="str">
        <f>"정상"</f>
        <v>정상</v>
      </c>
      <c r="D79" s="1" t="str">
        <f>""</f>
        <v/>
      </c>
      <c r="E79" s="1" t="str">
        <f t="shared" si="26"/>
        <v>WOK01</v>
      </c>
      <c r="F79" s="1" t="str">
        <f t="shared" si="27"/>
        <v>PTM00</v>
      </c>
      <c r="G79" s="1" t="str">
        <f>""</f>
        <v/>
      </c>
      <c r="H79" s="1" t="str">
        <f>"REL02"</f>
        <v>REL02</v>
      </c>
      <c r="I79" s="1" t="str">
        <f>"HWFIRE23"</f>
        <v>HWFIRE23</v>
      </c>
      <c r="J79" s="1" t="str">
        <f>""</f>
        <v/>
      </c>
      <c r="K79" s="1" t="str">
        <f>""</f>
        <v/>
      </c>
      <c r="L79" s="1" t="str">
        <f t="shared" si="25"/>
        <v>R</v>
      </c>
      <c r="M79" s="1" t="str">
        <f>"T04"</f>
        <v>T04</v>
      </c>
      <c r="N79" s="1" t="str">
        <f t="shared" si="22"/>
        <v>Y</v>
      </c>
      <c r="O79" s="1" t="str">
        <f t="shared" si="22"/>
        <v>Y</v>
      </c>
      <c r="P79" s="1" t="str">
        <f t="shared" si="22"/>
        <v>Y</v>
      </c>
      <c r="Q79" s="1" t="str">
        <f t="shared" si="23"/>
        <v>A</v>
      </c>
    </row>
    <row r="80" spans="1:17" x14ac:dyDescent="0.3">
      <c r="A80" s="1" t="str">
        <f t="shared" si="24"/>
        <v>A</v>
      </c>
      <c r="B80" s="1" t="str">
        <f>"GNLDL01"</f>
        <v>GNLDL01</v>
      </c>
      <c r="C80" s="1" t="str">
        <f>"(LDL 콜레스테롤) 정상"</f>
        <v>(LDL 콜레스테롤) 정상</v>
      </c>
      <c r="D80" s="1" t="str">
        <f>"혈중지질검사에서 LDL 콜레스테롤 수치는 정상입니다."</f>
        <v>혈중지질검사에서 LDL 콜레스테롤 수치는 정상입니다.</v>
      </c>
      <c r="E80" s="1" t="str">
        <f t="shared" si="26"/>
        <v>WOK01</v>
      </c>
      <c r="F80" s="1" t="str">
        <f t="shared" si="27"/>
        <v>PTM00</v>
      </c>
      <c r="G80" s="1" t="str">
        <f>"DISE"</f>
        <v>DISE</v>
      </c>
      <c r="H80" s="1" t="str">
        <f>"REL04"</f>
        <v>REL04</v>
      </c>
      <c r="I80" s="1" t="str">
        <f>""</f>
        <v/>
      </c>
      <c r="J80" s="1" t="str">
        <f>"C04C"</f>
        <v>C04C</v>
      </c>
      <c r="K80" s="1" t="str">
        <f>"C04C"</f>
        <v>C04C</v>
      </c>
      <c r="L80" s="1" t="str">
        <f t="shared" si="25"/>
        <v>R</v>
      </c>
      <c r="M80" s="1" t="str">
        <f>"T03"</f>
        <v>T03</v>
      </c>
      <c r="N80" s="1" t="str">
        <f t="shared" si="22"/>
        <v>Y</v>
      </c>
      <c r="O80" s="1" t="str">
        <f t="shared" si="22"/>
        <v>Y</v>
      </c>
      <c r="P80" s="1" t="str">
        <f t="shared" si="22"/>
        <v>Y</v>
      </c>
      <c r="Q80" s="1" t="str">
        <f t="shared" si="23"/>
        <v>A</v>
      </c>
    </row>
    <row r="81" spans="1:17" x14ac:dyDescent="0.3">
      <c r="A81" s="1" t="str">
        <f t="shared" si="24"/>
        <v>A</v>
      </c>
      <c r="B81" s="1" t="str">
        <f>"GNLFT001"</f>
        <v>GNLFT001</v>
      </c>
      <c r="C81" s="1" t="str">
        <f>"정상"</f>
        <v>정상</v>
      </c>
      <c r="D81" s="1" t="str">
        <f>"간기능검사에서 특이소견 없습니다."</f>
        <v>간기능검사에서 특이소견 없습니다.</v>
      </c>
      <c r="E81" s="1" t="str">
        <f t="shared" si="26"/>
        <v>WOK01</v>
      </c>
      <c r="F81" s="1" t="str">
        <f t="shared" si="27"/>
        <v>PTM00</v>
      </c>
      <c r="G81" s="1" t="str">
        <f>"DISK"</f>
        <v>DISK</v>
      </c>
      <c r="H81" s="1" t="str">
        <f>"REL05"</f>
        <v>REL05</v>
      </c>
      <c r="I81" s="1" t="str">
        <f>""</f>
        <v/>
      </c>
      <c r="J81" s="1" t="str">
        <f>"C05A"</f>
        <v>C05A</v>
      </c>
      <c r="K81" s="1" t="str">
        <f>"C05A"</f>
        <v>C05A</v>
      </c>
      <c r="L81" s="1" t="str">
        <f t="shared" si="25"/>
        <v>R</v>
      </c>
      <c r="M81" s="1" t="str">
        <f>"T02"</f>
        <v>T02</v>
      </c>
      <c r="N81" s="1" t="str">
        <f t="shared" si="22"/>
        <v>Y</v>
      </c>
      <c r="O81" s="1" t="str">
        <f t="shared" si="22"/>
        <v>Y</v>
      </c>
      <c r="P81" s="1" t="str">
        <f t="shared" si="22"/>
        <v>Y</v>
      </c>
      <c r="Q81" s="1" t="str">
        <f t="shared" si="23"/>
        <v>A</v>
      </c>
    </row>
    <row r="82" spans="1:17" x14ac:dyDescent="0.3">
      <c r="A82" s="1" t="str">
        <f t="shared" si="24"/>
        <v>A</v>
      </c>
      <c r="B82" s="1" t="str">
        <f>"GNLIPID01"</f>
        <v>GNLIPID01</v>
      </c>
      <c r="C82" s="1" t="str">
        <f>"(혈중지질검사) 특이소견 없음"</f>
        <v>(혈중지질검사) 특이소견 없음</v>
      </c>
      <c r="D82" s="1" t="str">
        <f>""</f>
        <v/>
      </c>
      <c r="E82" s="1" t="str">
        <f t="shared" si="26"/>
        <v>WOK01</v>
      </c>
      <c r="F82" s="1" t="str">
        <f t="shared" si="27"/>
        <v>PTM00</v>
      </c>
      <c r="G82" s="1" t="str">
        <f>"DISE"</f>
        <v>DISE</v>
      </c>
      <c r="H82" s="1" t="str">
        <f>"REL04"</f>
        <v>REL04</v>
      </c>
      <c r="I82" s="1" t="str">
        <f>""</f>
        <v/>
      </c>
      <c r="J82" s="1" t="str">
        <f>"C04C"</f>
        <v>C04C</v>
      </c>
      <c r="K82" s="1" t="str">
        <f>"C04C"</f>
        <v>C04C</v>
      </c>
      <c r="L82" s="1" t="str">
        <f t="shared" si="25"/>
        <v>R</v>
      </c>
      <c r="M82" s="1" t="str">
        <f>"T03"</f>
        <v>T03</v>
      </c>
      <c r="N82" s="1" t="str">
        <f t="shared" ref="N82:P101" si="28">"Y"</f>
        <v>Y</v>
      </c>
      <c r="O82" s="1" t="str">
        <f t="shared" si="28"/>
        <v>Y</v>
      </c>
      <c r="P82" s="1" t="str">
        <f t="shared" si="28"/>
        <v>Y</v>
      </c>
      <c r="Q82" s="1" t="str">
        <f t="shared" si="23"/>
        <v>A</v>
      </c>
    </row>
    <row r="83" spans="1:17" x14ac:dyDescent="0.3">
      <c r="A83" s="1" t="str">
        <f t="shared" si="24"/>
        <v>A</v>
      </c>
      <c r="B83" s="1" t="str">
        <f>"GNPRTU01"</f>
        <v>GNPRTU01</v>
      </c>
      <c r="C83" s="1" t="str">
        <f>"정상"</f>
        <v>정상</v>
      </c>
      <c r="D83" s="1" t="str">
        <f>""</f>
        <v/>
      </c>
      <c r="E83" s="1" t="str">
        <f t="shared" si="26"/>
        <v>WOK01</v>
      </c>
      <c r="F83" s="1" t="str">
        <f t="shared" si="27"/>
        <v>PTM00</v>
      </c>
      <c r="G83" s="1" t="str">
        <f>""</f>
        <v/>
      </c>
      <c r="H83" s="1" t="str">
        <f>""</f>
        <v/>
      </c>
      <c r="I83" s="1" t="str">
        <f>""</f>
        <v/>
      </c>
      <c r="J83" s="1" t="str">
        <f>"S01A"</f>
        <v>S01A</v>
      </c>
      <c r="K83" s="1" t="str">
        <f>"S01A"</f>
        <v>S01A</v>
      </c>
      <c r="L83" s="1" t="str">
        <f t="shared" si="25"/>
        <v>R</v>
      </c>
      <c r="M83" s="1" t="str">
        <f>""</f>
        <v/>
      </c>
      <c r="N83" s="1" t="str">
        <f t="shared" si="28"/>
        <v>Y</v>
      </c>
      <c r="O83" s="1" t="str">
        <f t="shared" si="28"/>
        <v>Y</v>
      </c>
      <c r="P83" s="1" t="str">
        <f t="shared" si="28"/>
        <v>Y</v>
      </c>
      <c r="Q83" s="1" t="str">
        <f t="shared" si="23"/>
        <v>A</v>
      </c>
    </row>
    <row r="84" spans="1:17" x14ac:dyDescent="0.3">
      <c r="A84" s="1" t="str">
        <f t="shared" si="24"/>
        <v>A</v>
      </c>
      <c r="B84" s="1" t="str">
        <f>"GNPRTU02"</f>
        <v>GNPRTU02</v>
      </c>
      <c r="C84" s="1" t="str">
        <f>"경미한 단백뇨"</f>
        <v>경미한 단백뇨</v>
      </c>
      <c r="D84" s="1" t="str">
        <f>""</f>
        <v/>
      </c>
      <c r="E84" s="1" t="str">
        <f t="shared" si="26"/>
        <v>WOK01</v>
      </c>
      <c r="F84" s="1" t="str">
        <f>"PTM03"</f>
        <v>PTM03</v>
      </c>
      <c r="G84" s="1" t="str">
        <f>"DISN"</f>
        <v>DISN</v>
      </c>
      <c r="H84" s="1" t="str">
        <f>"REL08"</f>
        <v>REL08</v>
      </c>
      <c r="I84" s="1" t="str">
        <f>""</f>
        <v/>
      </c>
      <c r="J84" s="1" t="str">
        <f>"C07A"</f>
        <v>C07A</v>
      </c>
      <c r="K84" s="1" t="str">
        <f>"C07A"</f>
        <v>C07A</v>
      </c>
      <c r="L84" s="1" t="str">
        <f t="shared" si="25"/>
        <v>R</v>
      </c>
      <c r="M84" s="1" t="str">
        <f>"T05"</f>
        <v>T05</v>
      </c>
      <c r="N84" s="1" t="str">
        <f t="shared" si="28"/>
        <v>Y</v>
      </c>
      <c r="O84" s="1" t="str">
        <f t="shared" si="28"/>
        <v>Y</v>
      </c>
      <c r="P84" s="1" t="str">
        <f t="shared" si="28"/>
        <v>Y</v>
      </c>
      <c r="Q84" s="1" t="str">
        <f t="shared" si="23"/>
        <v>A</v>
      </c>
    </row>
    <row r="85" spans="1:17" x14ac:dyDescent="0.3">
      <c r="A85" s="1" t="str">
        <f t="shared" si="24"/>
        <v>A</v>
      </c>
      <c r="B85" s="1" t="str">
        <f>"GNPSA01"</f>
        <v>GNPSA01</v>
      </c>
      <c r="C85" s="1" t="str">
        <f>"PSA 정상"</f>
        <v>PSA 정상</v>
      </c>
      <c r="D85" s="1" t="s">
        <v>20</v>
      </c>
      <c r="E85" s="1" t="str">
        <f>""</f>
        <v/>
      </c>
      <c r="F85" s="1" t="str">
        <f>""</f>
        <v/>
      </c>
      <c r="G85" s="1" t="str">
        <f>""</f>
        <v/>
      </c>
      <c r="H85" s="1" t="str">
        <f>""</f>
        <v/>
      </c>
      <c r="I85" s="1" t="str">
        <f>""</f>
        <v/>
      </c>
      <c r="J85" s="1" t="str">
        <f>""</f>
        <v/>
      </c>
      <c r="K85" s="1" t="str">
        <f>""</f>
        <v/>
      </c>
      <c r="L85" s="1" t="str">
        <f t="shared" si="25"/>
        <v>R</v>
      </c>
      <c r="M85" s="1" t="str">
        <f>""</f>
        <v/>
      </c>
      <c r="N85" s="1" t="str">
        <f t="shared" si="28"/>
        <v>Y</v>
      </c>
      <c r="O85" s="1" t="str">
        <f t="shared" si="28"/>
        <v>Y</v>
      </c>
      <c r="P85" s="1" t="str">
        <f t="shared" si="28"/>
        <v>Y</v>
      </c>
      <c r="Q85" s="1" t="str">
        <f t="shared" si="23"/>
        <v>A</v>
      </c>
    </row>
    <row r="86" spans="1:17" x14ac:dyDescent="0.3">
      <c r="A86" s="1" t="str">
        <f t="shared" si="24"/>
        <v>A</v>
      </c>
      <c r="B86" s="1" t="str">
        <f>"GNSHMR00"</f>
        <v>GNSHMR00</v>
      </c>
      <c r="C86" s="1" t="str">
        <f>"정상"</f>
        <v>정상</v>
      </c>
      <c r="D86" s="1" t="str">
        <f>"▶ 어깨 MRI 검사상 특이소견 없습니다."</f>
        <v>▶ 어깨 MRI 검사상 특이소견 없습니다.</v>
      </c>
      <c r="E86" s="1" t="str">
        <f t="shared" ref="E86:E114" si="29">"WOK01"</f>
        <v>WOK01</v>
      </c>
      <c r="F86" s="1" t="str">
        <f t="shared" ref="F86:F110" si="30">"PTM00"</f>
        <v>PTM00</v>
      </c>
      <c r="G86" s="1" t="str">
        <f>""</f>
        <v/>
      </c>
      <c r="H86" s="1" t="str">
        <f>"REL22"</f>
        <v>REL22</v>
      </c>
      <c r="I86" s="1" t="str">
        <f>""</f>
        <v/>
      </c>
      <c r="J86" s="1" t="str">
        <f>""</f>
        <v/>
      </c>
      <c r="K86" s="1" t="str">
        <f>""</f>
        <v/>
      </c>
      <c r="L86" s="1" t="str">
        <f t="shared" si="25"/>
        <v>R</v>
      </c>
      <c r="M86" s="1" t="str">
        <f>""</f>
        <v/>
      </c>
      <c r="N86" s="1" t="str">
        <f t="shared" si="28"/>
        <v>Y</v>
      </c>
      <c r="O86" s="1" t="str">
        <f t="shared" si="28"/>
        <v>Y</v>
      </c>
      <c r="P86" s="1" t="str">
        <f t="shared" si="28"/>
        <v>Y</v>
      </c>
      <c r="Q86" s="1" t="str">
        <f>"R"</f>
        <v>R</v>
      </c>
    </row>
    <row r="87" spans="1:17" x14ac:dyDescent="0.3">
      <c r="A87" s="1" t="str">
        <f t="shared" si="24"/>
        <v>A</v>
      </c>
      <c r="B87" s="1" t="str">
        <f>"GNSNBC101"</f>
        <v>GNSNBC101</v>
      </c>
      <c r="C87" s="1" t="str">
        <f>"내분비계(야간작업) 특이소견 없음"</f>
        <v>내분비계(야간작업) 특이소견 없음</v>
      </c>
      <c r="D87" s="1" t="str">
        <f>"특이소견 없습니다."</f>
        <v>특이소견 없습니다.</v>
      </c>
      <c r="E87" s="1" t="str">
        <f t="shared" si="29"/>
        <v>WOK01</v>
      </c>
      <c r="F87" s="1" t="str">
        <f t="shared" si="30"/>
        <v>PTM00</v>
      </c>
      <c r="G87" s="1" t="str">
        <f t="shared" ref="G87:G108" si="31">"DIS600"</f>
        <v>DIS600</v>
      </c>
      <c r="H87" s="1" t="str">
        <f>"REL23"</f>
        <v>REL23</v>
      </c>
      <c r="I87" s="1" t="str">
        <f t="shared" ref="I87:I105" si="32">"P0601"</f>
        <v>P0601</v>
      </c>
      <c r="J87" s="1" t="str">
        <f t="shared" ref="J87:K108" si="33">"N01A"</f>
        <v>N01A</v>
      </c>
      <c r="K87" s="1" t="str">
        <f t="shared" si="33"/>
        <v>N01A</v>
      </c>
      <c r="L87" s="1" t="str">
        <f t="shared" si="25"/>
        <v>R</v>
      </c>
      <c r="M87" s="1" t="str">
        <f>"T21"</f>
        <v>T21</v>
      </c>
      <c r="N87" s="1" t="str">
        <f t="shared" si="28"/>
        <v>Y</v>
      </c>
      <c r="O87" s="1" t="str">
        <f t="shared" si="28"/>
        <v>Y</v>
      </c>
      <c r="P87" s="1" t="str">
        <f t="shared" si="28"/>
        <v>Y</v>
      </c>
      <c r="Q87" s="1" t="str">
        <f t="shared" ref="Q87:Q118" si="34">"A"</f>
        <v>A</v>
      </c>
    </row>
    <row r="88" spans="1:17" x14ac:dyDescent="0.3">
      <c r="A88" s="1" t="str">
        <f t="shared" si="24"/>
        <v>A</v>
      </c>
      <c r="B88" s="1" t="str">
        <f>"GNSNBC201"</f>
        <v>GNSNBC201</v>
      </c>
      <c r="C88" s="1" t="str">
        <f>"(내분비계(야간작업) 유방암) 특이소견 없음"</f>
        <v>(내분비계(야간작업) 유방암) 특이소견 없음</v>
      </c>
      <c r="D88" s="1" t="str">
        <f>"특이소견 없습니다."</f>
        <v>특이소견 없습니다.</v>
      </c>
      <c r="E88" s="1" t="str">
        <f t="shared" si="29"/>
        <v>WOK01</v>
      </c>
      <c r="F88" s="1" t="str">
        <f t="shared" si="30"/>
        <v>PTM00</v>
      </c>
      <c r="G88" s="1" t="str">
        <f t="shared" si="31"/>
        <v>DIS600</v>
      </c>
      <c r="H88" s="1" t="str">
        <f>"REL23"</f>
        <v>REL23</v>
      </c>
      <c r="I88" s="1" t="str">
        <f t="shared" si="32"/>
        <v>P0601</v>
      </c>
      <c r="J88" s="1" t="str">
        <f t="shared" si="33"/>
        <v>N01A</v>
      </c>
      <c r="K88" s="1" t="str">
        <f t="shared" si="33"/>
        <v>N01A</v>
      </c>
      <c r="L88" s="1" t="str">
        <f t="shared" si="25"/>
        <v>R</v>
      </c>
      <c r="M88" s="1" t="str">
        <f>"T211"</f>
        <v>T211</v>
      </c>
      <c r="N88" s="1" t="str">
        <f t="shared" si="28"/>
        <v>Y</v>
      </c>
      <c r="O88" s="1" t="str">
        <f t="shared" si="28"/>
        <v>Y</v>
      </c>
      <c r="P88" s="1" t="str">
        <f t="shared" si="28"/>
        <v>Y</v>
      </c>
      <c r="Q88" s="1" t="str">
        <f t="shared" si="34"/>
        <v>A</v>
      </c>
    </row>
    <row r="89" spans="1:17" x14ac:dyDescent="0.3">
      <c r="A89" s="1" t="str">
        <f t="shared" si="24"/>
        <v>A</v>
      </c>
      <c r="B89" s="1" t="str">
        <f>"GNSNBP100"</f>
        <v>GNSNBP100</v>
      </c>
      <c r="C89" s="1" t="str">
        <f>"저혈압"</f>
        <v>저혈압</v>
      </c>
      <c r="D89" s="1" t="s">
        <v>21</v>
      </c>
      <c r="E89" s="1" t="str">
        <f t="shared" si="29"/>
        <v>WOK01</v>
      </c>
      <c r="F89" s="1" t="str">
        <f t="shared" si="30"/>
        <v>PTM00</v>
      </c>
      <c r="G89" s="1" t="str">
        <f t="shared" si="31"/>
        <v>DIS600</v>
      </c>
      <c r="H89" s="1" t="str">
        <f t="shared" ref="H89:H101" si="35">"REL06"</f>
        <v>REL06</v>
      </c>
      <c r="I89" s="1" t="str">
        <f t="shared" si="32"/>
        <v>P0601</v>
      </c>
      <c r="J89" s="1" t="str">
        <f t="shared" si="33"/>
        <v>N01A</v>
      </c>
      <c r="K89" s="1" t="str">
        <f t="shared" si="33"/>
        <v>N01A</v>
      </c>
      <c r="L89" s="1" t="str">
        <f t="shared" si="25"/>
        <v>R</v>
      </c>
      <c r="M89" s="1" t="str">
        <f t="shared" ref="M89:M101" si="36">"T031"</f>
        <v>T031</v>
      </c>
      <c r="N89" s="1" t="str">
        <f t="shared" si="28"/>
        <v>Y</v>
      </c>
      <c r="O89" s="1" t="str">
        <f t="shared" si="28"/>
        <v>Y</v>
      </c>
      <c r="P89" s="1" t="str">
        <f t="shared" si="28"/>
        <v>Y</v>
      </c>
      <c r="Q89" s="1" t="str">
        <f t="shared" si="34"/>
        <v>A</v>
      </c>
    </row>
    <row r="90" spans="1:17" x14ac:dyDescent="0.3">
      <c r="A90" s="1" t="str">
        <f t="shared" si="24"/>
        <v>A</v>
      </c>
      <c r="B90" s="1" t="str">
        <f>"GNSNBP101"</f>
        <v>GNSNBP101</v>
      </c>
      <c r="C90" s="1" t="str">
        <f>"(심혈관계(야간작업) 혈압) 정상"</f>
        <v>(심혈관계(야간작업) 혈압) 정상</v>
      </c>
      <c r="D90" s="1" t="str">
        <f>"혈압 검사에서 특이소견 없습니다."</f>
        <v>혈압 검사에서 특이소견 없습니다.</v>
      </c>
      <c r="E90" s="1" t="str">
        <f t="shared" si="29"/>
        <v>WOK01</v>
      </c>
      <c r="F90" s="1" t="str">
        <f t="shared" si="30"/>
        <v>PTM00</v>
      </c>
      <c r="G90" s="1" t="str">
        <f t="shared" si="31"/>
        <v>DIS600</v>
      </c>
      <c r="H90" s="1" t="str">
        <f t="shared" si="35"/>
        <v>REL06</v>
      </c>
      <c r="I90" s="1" t="str">
        <f t="shared" si="32"/>
        <v>P0601</v>
      </c>
      <c r="J90" s="1" t="str">
        <f t="shared" si="33"/>
        <v>N01A</v>
      </c>
      <c r="K90" s="1" t="str">
        <f t="shared" si="33"/>
        <v>N01A</v>
      </c>
      <c r="L90" s="1" t="str">
        <f t="shared" si="25"/>
        <v>R</v>
      </c>
      <c r="M90" s="1" t="str">
        <f t="shared" si="36"/>
        <v>T031</v>
      </c>
      <c r="N90" s="1" t="str">
        <f t="shared" si="28"/>
        <v>Y</v>
      </c>
      <c r="O90" s="1" t="str">
        <f t="shared" si="28"/>
        <v>Y</v>
      </c>
      <c r="P90" s="1" t="str">
        <f t="shared" si="28"/>
        <v>Y</v>
      </c>
      <c r="Q90" s="1" t="str">
        <f t="shared" si="34"/>
        <v>A</v>
      </c>
    </row>
    <row r="91" spans="1:17" x14ac:dyDescent="0.3">
      <c r="A91" s="1" t="str">
        <f t="shared" si="24"/>
        <v>A</v>
      </c>
      <c r="B91" s="1" t="str">
        <f>"GNSNBP102"</f>
        <v>GNSNBP102</v>
      </c>
      <c r="C91" s="1" t="str">
        <f>"심혈관계(야간작업) 고혈압 전단계"</f>
        <v>심혈관계(야간작업) 고혈압 전단계</v>
      </c>
      <c r="D91" s="1" t="str">
        <f>"혈압이 다소 높게 관찰됩니다. 근무 후 충분한 수면과 휴식을 취하고 건강한 생활습관을 유지하시기 바랍니다."</f>
        <v>혈압이 다소 높게 관찰됩니다. 근무 후 충분한 수면과 휴식을 취하고 건강한 생활습관을 유지하시기 바랍니다.</v>
      </c>
      <c r="E91" s="1" t="str">
        <f t="shared" si="29"/>
        <v>WOK01</v>
      </c>
      <c r="F91" s="1" t="str">
        <f t="shared" si="30"/>
        <v>PTM00</v>
      </c>
      <c r="G91" s="1" t="str">
        <f t="shared" si="31"/>
        <v>DIS600</v>
      </c>
      <c r="H91" s="1" t="str">
        <f t="shared" si="35"/>
        <v>REL06</v>
      </c>
      <c r="I91" s="1" t="str">
        <f t="shared" si="32"/>
        <v>P0601</v>
      </c>
      <c r="J91" s="1" t="str">
        <f t="shared" si="33"/>
        <v>N01A</v>
      </c>
      <c r="K91" s="1" t="str">
        <f t="shared" si="33"/>
        <v>N01A</v>
      </c>
      <c r="L91" s="1" t="str">
        <f t="shared" si="25"/>
        <v>R</v>
      </c>
      <c r="M91" s="1" t="str">
        <f t="shared" si="36"/>
        <v>T031</v>
      </c>
      <c r="N91" s="1" t="str">
        <f t="shared" si="28"/>
        <v>Y</v>
      </c>
      <c r="O91" s="1" t="str">
        <f t="shared" si="28"/>
        <v>Y</v>
      </c>
      <c r="P91" s="1" t="str">
        <f t="shared" si="28"/>
        <v>Y</v>
      </c>
      <c r="Q91" s="1" t="str">
        <f t="shared" si="34"/>
        <v>A</v>
      </c>
    </row>
    <row r="92" spans="1:17" x14ac:dyDescent="0.3">
      <c r="A92" s="1" t="str">
        <f t="shared" si="24"/>
        <v>A</v>
      </c>
      <c r="B92" s="1" t="str">
        <f>"GNSNBP201"</f>
        <v>GNSNBP201</v>
      </c>
      <c r="C92" s="1" t="str">
        <f>"(심혈관계(야간작업) 혈압) 특이소견 없음"</f>
        <v>(심혈관계(야간작업) 혈압) 특이소견 없음</v>
      </c>
      <c r="D92" s="1" t="str">
        <f>"혈압 검사에서 특이소견 없습니다."</f>
        <v>혈압 검사에서 특이소견 없습니다.</v>
      </c>
      <c r="E92" s="1" t="str">
        <f t="shared" si="29"/>
        <v>WOK01</v>
      </c>
      <c r="F92" s="1" t="str">
        <f t="shared" si="30"/>
        <v>PTM00</v>
      </c>
      <c r="G92" s="1" t="str">
        <f t="shared" si="31"/>
        <v>DIS600</v>
      </c>
      <c r="H92" s="1" t="str">
        <f t="shared" si="35"/>
        <v>REL06</v>
      </c>
      <c r="I92" s="1" t="str">
        <f t="shared" si="32"/>
        <v>P0601</v>
      </c>
      <c r="J92" s="1" t="str">
        <f t="shared" si="33"/>
        <v>N01A</v>
      </c>
      <c r="K92" s="1" t="str">
        <f t="shared" si="33"/>
        <v>N01A</v>
      </c>
      <c r="L92" s="1" t="str">
        <f t="shared" si="25"/>
        <v>R</v>
      </c>
      <c r="M92" s="1" t="str">
        <f t="shared" si="36"/>
        <v>T031</v>
      </c>
      <c r="N92" s="1" t="str">
        <f t="shared" si="28"/>
        <v>Y</v>
      </c>
      <c r="O92" s="1" t="str">
        <f t="shared" si="28"/>
        <v>Y</v>
      </c>
      <c r="P92" s="1" t="str">
        <f t="shared" si="28"/>
        <v>Y</v>
      </c>
      <c r="Q92" s="1" t="str">
        <f t="shared" si="34"/>
        <v>A</v>
      </c>
    </row>
    <row r="93" spans="1:17" x14ac:dyDescent="0.3">
      <c r="A93" s="1" t="str">
        <f t="shared" si="24"/>
        <v>A</v>
      </c>
      <c r="B93" s="1" t="str">
        <f>"GNSNBP202"</f>
        <v>GNSNBP202</v>
      </c>
      <c r="C93" s="1" t="str">
        <f>"(심혈관계(야간작업) 혈압) 고혈압 전단계"</f>
        <v>(심혈관계(야간작업) 혈압) 고혈압 전단계</v>
      </c>
      <c r="D93" s="1" t="str">
        <f>"혈압이 다소 높게 관찰됩니다. 근무 후 충분한 수면과 휴식을 취하고 건강한 생활습관을 유지하시기 바랍니다."</f>
        <v>혈압이 다소 높게 관찰됩니다. 근무 후 충분한 수면과 휴식을 취하고 건강한 생활습관을 유지하시기 바랍니다.</v>
      </c>
      <c r="E93" s="1" t="str">
        <f t="shared" si="29"/>
        <v>WOK01</v>
      </c>
      <c r="F93" s="1" t="str">
        <f t="shared" si="30"/>
        <v>PTM00</v>
      </c>
      <c r="G93" s="1" t="str">
        <f t="shared" si="31"/>
        <v>DIS600</v>
      </c>
      <c r="H93" s="1" t="str">
        <f t="shared" si="35"/>
        <v>REL06</v>
      </c>
      <c r="I93" s="1" t="str">
        <f t="shared" si="32"/>
        <v>P0601</v>
      </c>
      <c r="J93" s="1" t="str">
        <f t="shared" si="33"/>
        <v>N01A</v>
      </c>
      <c r="K93" s="1" t="str">
        <f t="shared" si="33"/>
        <v>N01A</v>
      </c>
      <c r="L93" s="1" t="str">
        <f t="shared" si="25"/>
        <v>R</v>
      </c>
      <c r="M93" s="1" t="str">
        <f t="shared" si="36"/>
        <v>T031</v>
      </c>
      <c r="N93" s="1" t="str">
        <f t="shared" si="28"/>
        <v>Y</v>
      </c>
      <c r="O93" s="1" t="str">
        <f t="shared" si="28"/>
        <v>Y</v>
      </c>
      <c r="P93" s="1" t="str">
        <f t="shared" si="28"/>
        <v>Y</v>
      </c>
      <c r="Q93" s="1" t="str">
        <f t="shared" si="34"/>
        <v>A</v>
      </c>
    </row>
    <row r="94" spans="1:17" x14ac:dyDescent="0.3">
      <c r="A94" s="1" t="str">
        <f t="shared" si="24"/>
        <v>A</v>
      </c>
      <c r="B94" s="1" t="str">
        <f>"GNSNCV101"</f>
        <v>GNSNCV101</v>
      </c>
      <c r="C94" s="1" t="str">
        <f>"심혈관계(야간작업) 특이소견 없음"</f>
        <v>심혈관계(야간작업) 특이소견 없음</v>
      </c>
      <c r="D94" s="1" t="str">
        <f>"특이소견 없습니다."</f>
        <v>특이소견 없습니다.</v>
      </c>
      <c r="E94" s="1" t="str">
        <f t="shared" si="29"/>
        <v>WOK01</v>
      </c>
      <c r="F94" s="1" t="str">
        <f t="shared" si="30"/>
        <v>PTM00</v>
      </c>
      <c r="G94" s="1" t="str">
        <f t="shared" si="31"/>
        <v>DIS600</v>
      </c>
      <c r="H94" s="1" t="str">
        <f t="shared" si="35"/>
        <v>REL06</v>
      </c>
      <c r="I94" s="1" t="str">
        <f t="shared" si="32"/>
        <v>P0601</v>
      </c>
      <c r="J94" s="1" t="str">
        <f t="shared" si="33"/>
        <v>N01A</v>
      </c>
      <c r="K94" s="1" t="str">
        <f t="shared" si="33"/>
        <v>N01A</v>
      </c>
      <c r="L94" s="1" t="str">
        <f t="shared" si="25"/>
        <v>R</v>
      </c>
      <c r="M94" s="1" t="str">
        <f t="shared" si="36"/>
        <v>T031</v>
      </c>
      <c r="N94" s="1" t="str">
        <f t="shared" si="28"/>
        <v>Y</v>
      </c>
      <c r="O94" s="1" t="str">
        <f t="shared" si="28"/>
        <v>Y</v>
      </c>
      <c r="P94" s="1" t="str">
        <f t="shared" si="28"/>
        <v>Y</v>
      </c>
      <c r="Q94" s="1" t="str">
        <f t="shared" si="34"/>
        <v>A</v>
      </c>
    </row>
    <row r="95" spans="1:17" x14ac:dyDescent="0.3">
      <c r="A95" s="1" t="str">
        <f t="shared" si="24"/>
        <v>A</v>
      </c>
      <c r="B95" s="1" t="str">
        <f>"GNSNDL102"</f>
        <v>GNSNDL102</v>
      </c>
      <c r="C95" s="1" t="str">
        <f>"심혈관계(야간작업) 혈중 지질 이상"</f>
        <v>심혈관계(야간작업) 혈중 지질 이상</v>
      </c>
      <c r="D95" s="1" t="str">
        <f>"경미한 혈중 지질 이상 소견이 관찰됩니다. 근무 후 충분한 수면과 휴식을 취하고 건강한 생활습관을 유지하시기 바랍니다."</f>
        <v>경미한 혈중 지질 이상 소견이 관찰됩니다. 근무 후 충분한 수면과 휴식을 취하고 건강한 생활습관을 유지하시기 바랍니다.</v>
      </c>
      <c r="E95" s="1" t="str">
        <f t="shared" si="29"/>
        <v>WOK01</v>
      </c>
      <c r="F95" s="1" t="str">
        <f t="shared" si="30"/>
        <v>PTM00</v>
      </c>
      <c r="G95" s="1" t="str">
        <f t="shared" si="31"/>
        <v>DIS600</v>
      </c>
      <c r="H95" s="1" t="str">
        <f t="shared" si="35"/>
        <v>REL06</v>
      </c>
      <c r="I95" s="1" t="str">
        <f t="shared" si="32"/>
        <v>P0601</v>
      </c>
      <c r="J95" s="1" t="str">
        <f t="shared" si="33"/>
        <v>N01A</v>
      </c>
      <c r="K95" s="1" t="str">
        <f t="shared" si="33"/>
        <v>N01A</v>
      </c>
      <c r="L95" s="1" t="str">
        <f t="shared" si="25"/>
        <v>R</v>
      </c>
      <c r="M95" s="1" t="str">
        <f t="shared" si="36"/>
        <v>T031</v>
      </c>
      <c r="N95" s="1" t="str">
        <f t="shared" si="28"/>
        <v>Y</v>
      </c>
      <c r="O95" s="1" t="str">
        <f t="shared" si="28"/>
        <v>Y</v>
      </c>
      <c r="P95" s="1" t="str">
        <f t="shared" si="28"/>
        <v>Y</v>
      </c>
      <c r="Q95" s="1" t="str">
        <f t="shared" si="34"/>
        <v>A</v>
      </c>
    </row>
    <row r="96" spans="1:17" x14ac:dyDescent="0.3">
      <c r="A96" s="1" t="str">
        <f t="shared" si="24"/>
        <v>A</v>
      </c>
      <c r="B96" s="1" t="str">
        <f>"GNSNDL201"</f>
        <v>GNSNDL201</v>
      </c>
      <c r="C96" s="1" t="str">
        <f>"(심혈관계(야간작업) 지질) 특이소견 없음"</f>
        <v>(심혈관계(야간작업) 지질) 특이소견 없음</v>
      </c>
      <c r="D96" s="1" t="str">
        <f>"혈중 지질 검사에서 특이소견 없습니다."</f>
        <v>혈중 지질 검사에서 특이소견 없습니다.</v>
      </c>
      <c r="E96" s="1" t="str">
        <f t="shared" si="29"/>
        <v>WOK01</v>
      </c>
      <c r="F96" s="1" t="str">
        <f t="shared" si="30"/>
        <v>PTM00</v>
      </c>
      <c r="G96" s="1" t="str">
        <f t="shared" si="31"/>
        <v>DIS600</v>
      </c>
      <c r="H96" s="1" t="str">
        <f t="shared" si="35"/>
        <v>REL06</v>
      </c>
      <c r="I96" s="1" t="str">
        <f t="shared" si="32"/>
        <v>P0601</v>
      </c>
      <c r="J96" s="1" t="str">
        <f t="shared" si="33"/>
        <v>N01A</v>
      </c>
      <c r="K96" s="1" t="str">
        <f t="shared" si="33"/>
        <v>N01A</v>
      </c>
      <c r="L96" s="1" t="str">
        <f t="shared" si="25"/>
        <v>R</v>
      </c>
      <c r="M96" s="1" t="str">
        <f t="shared" si="36"/>
        <v>T031</v>
      </c>
      <c r="N96" s="1" t="str">
        <f t="shared" si="28"/>
        <v>Y</v>
      </c>
      <c r="O96" s="1" t="str">
        <f t="shared" si="28"/>
        <v>Y</v>
      </c>
      <c r="P96" s="1" t="str">
        <f t="shared" si="28"/>
        <v>Y</v>
      </c>
      <c r="Q96" s="1" t="str">
        <f t="shared" si="34"/>
        <v>A</v>
      </c>
    </row>
    <row r="97" spans="1:17" x14ac:dyDescent="0.3">
      <c r="A97" s="1" t="str">
        <f t="shared" si="24"/>
        <v>A</v>
      </c>
      <c r="B97" s="1" t="str">
        <f>"GNSNDL202"</f>
        <v>GNSNDL202</v>
      </c>
      <c r="C97" s="1" t="str">
        <f>"(심혈관계(야간작업) 지질) 혈중 지질 이상"</f>
        <v>(심혈관계(야간작업) 지질) 혈중 지질 이상</v>
      </c>
      <c r="D97" s="1" t="str">
        <f>"경미한 혈중 지질 이상 소견이 관찰됩니다. 근무 후 충분한 수면과 휴식을 취하고 건강한 생활습관을 유지하시기 바랍니다."</f>
        <v>경미한 혈중 지질 이상 소견이 관찰됩니다. 근무 후 충분한 수면과 휴식을 취하고 건강한 생활습관을 유지하시기 바랍니다.</v>
      </c>
      <c r="E97" s="1" t="str">
        <f t="shared" si="29"/>
        <v>WOK01</v>
      </c>
      <c r="F97" s="1" t="str">
        <f t="shared" si="30"/>
        <v>PTM00</v>
      </c>
      <c r="G97" s="1" t="str">
        <f t="shared" si="31"/>
        <v>DIS600</v>
      </c>
      <c r="H97" s="1" t="str">
        <f t="shared" si="35"/>
        <v>REL06</v>
      </c>
      <c r="I97" s="1" t="str">
        <f t="shared" si="32"/>
        <v>P0601</v>
      </c>
      <c r="J97" s="1" t="str">
        <f t="shared" si="33"/>
        <v>N01A</v>
      </c>
      <c r="K97" s="1" t="str">
        <f t="shared" si="33"/>
        <v>N01A</v>
      </c>
      <c r="L97" s="1" t="str">
        <f t="shared" si="25"/>
        <v>R</v>
      </c>
      <c r="M97" s="1" t="str">
        <f t="shared" si="36"/>
        <v>T031</v>
      </c>
      <c r="N97" s="1" t="str">
        <f t="shared" si="28"/>
        <v>Y</v>
      </c>
      <c r="O97" s="1" t="str">
        <f t="shared" si="28"/>
        <v>Y</v>
      </c>
      <c r="P97" s="1" t="str">
        <f t="shared" si="28"/>
        <v>Y</v>
      </c>
      <c r="Q97" s="1" t="str">
        <f t="shared" si="34"/>
        <v>A</v>
      </c>
    </row>
    <row r="98" spans="1:17" x14ac:dyDescent="0.3">
      <c r="A98" s="1" t="str">
        <f t="shared" si="24"/>
        <v>A</v>
      </c>
      <c r="B98" s="1" t="str">
        <f>"GNSNDM101"</f>
        <v>GNSNDM101</v>
      </c>
      <c r="C98" s="1" t="str">
        <f>"(심혈관계(야간작업) 혈당) 정상"</f>
        <v>(심혈관계(야간작업) 혈당) 정상</v>
      </c>
      <c r="D98" s="1" t="str">
        <f>"당뇨 검사에서 특이소견 없습니다."</f>
        <v>당뇨 검사에서 특이소견 없습니다.</v>
      </c>
      <c r="E98" s="1" t="str">
        <f t="shared" si="29"/>
        <v>WOK01</v>
      </c>
      <c r="F98" s="1" t="str">
        <f t="shared" si="30"/>
        <v>PTM00</v>
      </c>
      <c r="G98" s="1" t="str">
        <f t="shared" si="31"/>
        <v>DIS600</v>
      </c>
      <c r="H98" s="1" t="str">
        <f t="shared" si="35"/>
        <v>REL06</v>
      </c>
      <c r="I98" s="1" t="str">
        <f t="shared" si="32"/>
        <v>P0601</v>
      </c>
      <c r="J98" s="1" t="str">
        <f t="shared" si="33"/>
        <v>N01A</v>
      </c>
      <c r="K98" s="1" t="str">
        <f t="shared" si="33"/>
        <v>N01A</v>
      </c>
      <c r="L98" s="1" t="str">
        <f t="shared" si="25"/>
        <v>R</v>
      </c>
      <c r="M98" s="1" t="str">
        <f t="shared" si="36"/>
        <v>T031</v>
      </c>
      <c r="N98" s="1" t="str">
        <f t="shared" si="28"/>
        <v>Y</v>
      </c>
      <c r="O98" s="1" t="str">
        <f t="shared" si="28"/>
        <v>Y</v>
      </c>
      <c r="P98" s="1" t="str">
        <f t="shared" si="28"/>
        <v>Y</v>
      </c>
      <c r="Q98" s="1" t="str">
        <f t="shared" si="34"/>
        <v>A</v>
      </c>
    </row>
    <row r="99" spans="1:17" x14ac:dyDescent="0.3">
      <c r="A99" s="1" t="str">
        <f t="shared" si="24"/>
        <v>A</v>
      </c>
      <c r="B99" s="1" t="str">
        <f>"GNSNDM102"</f>
        <v>GNSNDM102</v>
      </c>
      <c r="C99" s="1" t="str">
        <f>"심혈관계(야간작업) 공복혈당장애"</f>
        <v>심혈관계(야간작업) 공복혈당장애</v>
      </c>
      <c r="D99" s="1" t="str">
        <f>"공복혈당 수치가 다소 증가되어 있습니다. 근무 후 충분한 수면과 휴식을 취하고 건강한 생활습관을 유지하시기 바랍니다."</f>
        <v>공복혈당 수치가 다소 증가되어 있습니다. 근무 후 충분한 수면과 휴식을 취하고 건강한 생활습관을 유지하시기 바랍니다.</v>
      </c>
      <c r="E99" s="1" t="str">
        <f t="shared" si="29"/>
        <v>WOK01</v>
      </c>
      <c r="F99" s="1" t="str">
        <f t="shared" si="30"/>
        <v>PTM00</v>
      </c>
      <c r="G99" s="1" t="str">
        <f t="shared" si="31"/>
        <v>DIS600</v>
      </c>
      <c r="H99" s="1" t="str">
        <f t="shared" si="35"/>
        <v>REL06</v>
      </c>
      <c r="I99" s="1" t="str">
        <f t="shared" si="32"/>
        <v>P0601</v>
      </c>
      <c r="J99" s="1" t="str">
        <f t="shared" si="33"/>
        <v>N01A</v>
      </c>
      <c r="K99" s="1" t="str">
        <f t="shared" si="33"/>
        <v>N01A</v>
      </c>
      <c r="L99" s="1" t="str">
        <f t="shared" si="25"/>
        <v>R</v>
      </c>
      <c r="M99" s="1" t="str">
        <f t="shared" si="36"/>
        <v>T031</v>
      </c>
      <c r="N99" s="1" t="str">
        <f t="shared" si="28"/>
        <v>Y</v>
      </c>
      <c r="O99" s="1" t="str">
        <f t="shared" si="28"/>
        <v>Y</v>
      </c>
      <c r="P99" s="1" t="str">
        <f t="shared" si="28"/>
        <v>Y</v>
      </c>
      <c r="Q99" s="1" t="str">
        <f t="shared" si="34"/>
        <v>A</v>
      </c>
    </row>
    <row r="100" spans="1:17" x14ac:dyDescent="0.3">
      <c r="A100" s="1" t="str">
        <f t="shared" si="24"/>
        <v>A</v>
      </c>
      <c r="B100" s="1" t="str">
        <f>"GNSNDM201"</f>
        <v>GNSNDM201</v>
      </c>
      <c r="C100" s="1" t="str">
        <f>"(심혈관계(야간작업) 혈당) 특이소견 없음"</f>
        <v>(심혈관계(야간작업) 혈당) 특이소견 없음</v>
      </c>
      <c r="D100" s="1" t="str">
        <f>"당뇨 검사에서 특이소견 없습니다."</f>
        <v>당뇨 검사에서 특이소견 없습니다.</v>
      </c>
      <c r="E100" s="1" t="str">
        <f t="shared" si="29"/>
        <v>WOK01</v>
      </c>
      <c r="F100" s="1" t="str">
        <f t="shared" si="30"/>
        <v>PTM00</v>
      </c>
      <c r="G100" s="1" t="str">
        <f t="shared" si="31"/>
        <v>DIS600</v>
      </c>
      <c r="H100" s="1" t="str">
        <f t="shared" si="35"/>
        <v>REL06</v>
      </c>
      <c r="I100" s="1" t="str">
        <f t="shared" si="32"/>
        <v>P0601</v>
      </c>
      <c r="J100" s="1" t="str">
        <f t="shared" si="33"/>
        <v>N01A</v>
      </c>
      <c r="K100" s="1" t="str">
        <f t="shared" si="33"/>
        <v>N01A</v>
      </c>
      <c r="L100" s="1" t="str">
        <f t="shared" si="25"/>
        <v>R</v>
      </c>
      <c r="M100" s="1" t="str">
        <f t="shared" si="36"/>
        <v>T031</v>
      </c>
      <c r="N100" s="1" t="str">
        <f t="shared" si="28"/>
        <v>Y</v>
      </c>
      <c r="O100" s="1" t="str">
        <f t="shared" si="28"/>
        <v>Y</v>
      </c>
      <c r="P100" s="1" t="str">
        <f t="shared" si="28"/>
        <v>Y</v>
      </c>
      <c r="Q100" s="1" t="str">
        <f t="shared" si="34"/>
        <v>A</v>
      </c>
    </row>
    <row r="101" spans="1:17" x14ac:dyDescent="0.3">
      <c r="A101" s="1" t="str">
        <f t="shared" si="24"/>
        <v>A</v>
      </c>
      <c r="B101" s="1" t="str">
        <f>"GNSNDM202"</f>
        <v>GNSNDM202</v>
      </c>
      <c r="C101" s="1" t="str">
        <f>"(심혈관계(야간작업) 혈당) 당뇨병 전단계"</f>
        <v>(심혈관계(야간작업) 혈당) 당뇨병 전단계</v>
      </c>
      <c r="D101" s="1" t="str">
        <f>"당뇨 검사 수치가 다소 증가되어 있습니다. 근무 후 충분한 수면과 휴식을 취하고 건강한 생활습관을 유지하시기 바랍니다."</f>
        <v>당뇨 검사 수치가 다소 증가되어 있습니다. 근무 후 충분한 수면과 휴식을 취하고 건강한 생활습관을 유지하시기 바랍니다.</v>
      </c>
      <c r="E101" s="1" t="str">
        <f t="shared" si="29"/>
        <v>WOK01</v>
      </c>
      <c r="F101" s="1" t="str">
        <f t="shared" si="30"/>
        <v>PTM00</v>
      </c>
      <c r="G101" s="1" t="str">
        <f t="shared" si="31"/>
        <v>DIS600</v>
      </c>
      <c r="H101" s="1" t="str">
        <f t="shared" si="35"/>
        <v>REL06</v>
      </c>
      <c r="I101" s="1" t="str">
        <f t="shared" si="32"/>
        <v>P0601</v>
      </c>
      <c r="J101" s="1" t="str">
        <f t="shared" si="33"/>
        <v>N01A</v>
      </c>
      <c r="K101" s="1" t="str">
        <f t="shared" si="33"/>
        <v>N01A</v>
      </c>
      <c r="L101" s="1" t="str">
        <f t="shared" si="25"/>
        <v>R</v>
      </c>
      <c r="M101" s="1" t="str">
        <f t="shared" si="36"/>
        <v>T031</v>
      </c>
      <c r="N101" s="1" t="str">
        <f t="shared" si="28"/>
        <v>Y</v>
      </c>
      <c r="O101" s="1" t="str">
        <f t="shared" si="28"/>
        <v>Y</v>
      </c>
      <c r="P101" s="1" t="str">
        <f t="shared" si="28"/>
        <v>Y</v>
      </c>
      <c r="Q101" s="1" t="str">
        <f t="shared" si="34"/>
        <v>A</v>
      </c>
    </row>
    <row r="102" spans="1:17" x14ac:dyDescent="0.3">
      <c r="A102" s="1" t="str">
        <f t="shared" si="24"/>
        <v>A</v>
      </c>
      <c r="B102" s="1" t="str">
        <f>"GNSNGI101"</f>
        <v>GNSNGI101</v>
      </c>
      <c r="C102" s="1" t="str">
        <f>"위장관계(야간작업) 특이소견 없음"</f>
        <v>위장관계(야간작업) 특이소견 없음</v>
      </c>
      <c r="D102" s="1" t="str">
        <f>"특이소견 없습니다."</f>
        <v>특이소견 없습니다.</v>
      </c>
      <c r="E102" s="1" t="str">
        <f t="shared" si="29"/>
        <v>WOK01</v>
      </c>
      <c r="F102" s="1" t="str">
        <f t="shared" si="30"/>
        <v>PTM00</v>
      </c>
      <c r="G102" s="1" t="str">
        <f t="shared" si="31"/>
        <v>DIS600</v>
      </c>
      <c r="H102" s="1" t="str">
        <f>"REL37"</f>
        <v>REL37</v>
      </c>
      <c r="I102" s="1" t="str">
        <f t="shared" si="32"/>
        <v>P0601</v>
      </c>
      <c r="J102" s="1" t="str">
        <f t="shared" si="33"/>
        <v>N01A</v>
      </c>
      <c r="K102" s="1" t="str">
        <f t="shared" si="33"/>
        <v>N01A</v>
      </c>
      <c r="L102" s="1" t="str">
        <f t="shared" si="25"/>
        <v>R</v>
      </c>
      <c r="M102" s="1" t="str">
        <f>"T201"</f>
        <v>T201</v>
      </c>
      <c r="N102" s="1" t="str">
        <f t="shared" ref="N102:P121" si="37">"Y"</f>
        <v>Y</v>
      </c>
      <c r="O102" s="1" t="str">
        <f t="shared" si="37"/>
        <v>Y</v>
      </c>
      <c r="P102" s="1" t="str">
        <f t="shared" si="37"/>
        <v>Y</v>
      </c>
      <c r="Q102" s="1" t="str">
        <f t="shared" si="34"/>
        <v>A</v>
      </c>
    </row>
    <row r="103" spans="1:17" x14ac:dyDescent="0.3">
      <c r="A103" s="1" t="str">
        <f t="shared" si="24"/>
        <v>A</v>
      </c>
      <c r="B103" s="1" t="str">
        <f>"GNSNGI201"</f>
        <v>GNSNGI201</v>
      </c>
      <c r="C103" s="1" t="str">
        <f>"(위장관계(야간작업) 위장관장애) 특이소견 없음"</f>
        <v>(위장관계(야간작업) 위장관장애) 특이소견 없음</v>
      </c>
      <c r="D103" s="1" t="str">
        <f>"특이소견 없습니다."</f>
        <v>특이소견 없습니다.</v>
      </c>
      <c r="E103" s="1" t="str">
        <f t="shared" si="29"/>
        <v>WOK01</v>
      </c>
      <c r="F103" s="1" t="str">
        <f t="shared" si="30"/>
        <v>PTM00</v>
      </c>
      <c r="G103" s="1" t="str">
        <f t="shared" si="31"/>
        <v>DIS600</v>
      </c>
      <c r="H103" s="1" t="str">
        <f>"REL37"</f>
        <v>REL37</v>
      </c>
      <c r="I103" s="1" t="str">
        <f t="shared" si="32"/>
        <v>P0601</v>
      </c>
      <c r="J103" s="1" t="str">
        <f t="shared" si="33"/>
        <v>N01A</v>
      </c>
      <c r="K103" s="1" t="str">
        <f t="shared" si="33"/>
        <v>N01A</v>
      </c>
      <c r="L103" s="1" t="str">
        <f t="shared" si="25"/>
        <v>R</v>
      </c>
      <c r="M103" s="1" t="str">
        <f>"T201"</f>
        <v>T201</v>
      </c>
      <c r="N103" s="1" t="str">
        <f t="shared" si="37"/>
        <v>Y</v>
      </c>
      <c r="O103" s="1" t="str">
        <f t="shared" si="37"/>
        <v>Y</v>
      </c>
      <c r="P103" s="1" t="str">
        <f t="shared" si="37"/>
        <v>Y</v>
      </c>
      <c r="Q103" s="1" t="str">
        <f t="shared" si="34"/>
        <v>A</v>
      </c>
    </row>
    <row r="104" spans="1:17" x14ac:dyDescent="0.3">
      <c r="A104" s="1" t="str">
        <f t="shared" si="24"/>
        <v>A</v>
      </c>
      <c r="B104" s="1" t="str">
        <f>"GNSNSD101"</f>
        <v>GNSNSD101</v>
      </c>
      <c r="C104" s="1" t="str">
        <f>"신경계(야간작업) 특이소견 없음"</f>
        <v>신경계(야간작업) 특이소견 없음</v>
      </c>
      <c r="D104" s="1" t="str">
        <f>"특이소견 없습니다."</f>
        <v>특이소견 없습니다.</v>
      </c>
      <c r="E104" s="1" t="str">
        <f t="shared" si="29"/>
        <v>WOK01</v>
      </c>
      <c r="F104" s="1" t="str">
        <f t="shared" si="30"/>
        <v>PTM00</v>
      </c>
      <c r="G104" s="1" t="str">
        <f t="shared" si="31"/>
        <v>DIS600</v>
      </c>
      <c r="H104" s="1" t="str">
        <f>"REL21"</f>
        <v>REL21</v>
      </c>
      <c r="I104" s="1" t="str">
        <f t="shared" si="32"/>
        <v>P0601</v>
      </c>
      <c r="J104" s="1" t="str">
        <f t="shared" si="33"/>
        <v>N01A</v>
      </c>
      <c r="K104" s="1" t="str">
        <f t="shared" si="33"/>
        <v>N01A</v>
      </c>
      <c r="L104" s="1" t="str">
        <f t="shared" si="25"/>
        <v>R</v>
      </c>
      <c r="M104" s="1" t="str">
        <f>"T061"</f>
        <v>T061</v>
      </c>
      <c r="N104" s="1" t="str">
        <f t="shared" si="37"/>
        <v>Y</v>
      </c>
      <c r="O104" s="1" t="str">
        <f t="shared" si="37"/>
        <v>Y</v>
      </c>
      <c r="P104" s="1" t="str">
        <f t="shared" si="37"/>
        <v>Y</v>
      </c>
      <c r="Q104" s="1" t="str">
        <f t="shared" si="34"/>
        <v>A</v>
      </c>
    </row>
    <row r="105" spans="1:17" x14ac:dyDescent="0.3">
      <c r="A105" s="1" t="str">
        <f t="shared" si="24"/>
        <v>A</v>
      </c>
      <c r="B105" s="1" t="str">
        <f>"GNSNSD102"</f>
        <v>GNSNSD102</v>
      </c>
      <c r="C105" s="1" t="str">
        <f>"신경계(야간작업) 수면장애 주의"</f>
        <v>신경계(야간작업) 수면장애 주의</v>
      </c>
      <c r="D105" s="1" t="str">
        <f>"야간작업 관련 수면장애가 생길 수 있습니다. 적절한 수면 관리가 필요합니다."</f>
        <v>야간작업 관련 수면장애가 생길 수 있습니다. 적절한 수면 관리가 필요합니다.</v>
      </c>
      <c r="E105" s="1" t="str">
        <f t="shared" si="29"/>
        <v>WOK01</v>
      </c>
      <c r="F105" s="1" t="str">
        <f t="shared" si="30"/>
        <v>PTM00</v>
      </c>
      <c r="G105" s="1" t="str">
        <f t="shared" si="31"/>
        <v>DIS600</v>
      </c>
      <c r="H105" s="1" t="str">
        <f>"REL21"</f>
        <v>REL21</v>
      </c>
      <c r="I105" s="1" t="str">
        <f t="shared" si="32"/>
        <v>P0601</v>
      </c>
      <c r="J105" s="1" t="str">
        <f t="shared" si="33"/>
        <v>N01A</v>
      </c>
      <c r="K105" s="1" t="str">
        <f t="shared" si="33"/>
        <v>N01A</v>
      </c>
      <c r="L105" s="1" t="str">
        <f t="shared" si="25"/>
        <v>R</v>
      </c>
      <c r="M105" s="1" t="str">
        <f>"T061"</f>
        <v>T061</v>
      </c>
      <c r="N105" s="1" t="str">
        <f t="shared" si="37"/>
        <v>Y</v>
      </c>
      <c r="O105" s="1" t="str">
        <f t="shared" si="37"/>
        <v>Y</v>
      </c>
      <c r="P105" s="1" t="str">
        <f t="shared" si="37"/>
        <v>Y</v>
      </c>
      <c r="Q105" s="1" t="str">
        <f t="shared" si="34"/>
        <v>A</v>
      </c>
    </row>
    <row r="106" spans="1:17" x14ac:dyDescent="0.3">
      <c r="A106" s="1" t="str">
        <f t="shared" si="24"/>
        <v>A</v>
      </c>
      <c r="B106" s="1" t="str">
        <f>"GNSNSD106"</f>
        <v>GNSNSD106</v>
      </c>
      <c r="C106" s="1" t="str">
        <f>"정상"</f>
        <v>정상</v>
      </c>
      <c r="D106" s="1" t="str">
        <f>"특이소견 없습니다."</f>
        <v>특이소견 없습니다.</v>
      </c>
      <c r="E106" s="1" t="str">
        <f t="shared" si="29"/>
        <v>WOK01</v>
      </c>
      <c r="F106" s="1" t="str">
        <f t="shared" si="30"/>
        <v>PTM00</v>
      </c>
      <c r="G106" s="1" t="str">
        <f t="shared" si="31"/>
        <v>DIS600</v>
      </c>
      <c r="H106" s="1" t="str">
        <f>"REL21"</f>
        <v>REL21</v>
      </c>
      <c r="I106" s="1" t="str">
        <f>"HWFIRE11"</f>
        <v>HWFIRE11</v>
      </c>
      <c r="J106" s="1" t="str">
        <f t="shared" si="33"/>
        <v>N01A</v>
      </c>
      <c r="K106" s="1" t="str">
        <f t="shared" si="33"/>
        <v>N01A</v>
      </c>
      <c r="L106" s="1" t="str">
        <f t="shared" si="25"/>
        <v>R</v>
      </c>
      <c r="M106" s="1" t="str">
        <f>"T061"</f>
        <v>T061</v>
      </c>
      <c r="N106" s="1" t="str">
        <f t="shared" si="37"/>
        <v>Y</v>
      </c>
      <c r="O106" s="1" t="str">
        <f t="shared" si="37"/>
        <v>Y</v>
      </c>
      <c r="P106" s="1" t="str">
        <f t="shared" si="37"/>
        <v>Y</v>
      </c>
      <c r="Q106" s="1" t="str">
        <f t="shared" si="34"/>
        <v>A</v>
      </c>
    </row>
    <row r="107" spans="1:17" x14ac:dyDescent="0.3">
      <c r="A107" s="1" t="str">
        <f t="shared" si="24"/>
        <v>A</v>
      </c>
      <c r="B107" s="1" t="str">
        <f>"GNSNSD107"</f>
        <v>GNSNSD107</v>
      </c>
      <c r="C107" s="1" t="str">
        <f>"경미한 수면장애"</f>
        <v>경미한 수면장애</v>
      </c>
      <c r="D107" s="1" t="str">
        <f>"경미한 수면장애 소견이 있습니다. 적절한 수면 관리가 필요합니다."</f>
        <v>경미한 수면장애 소견이 있습니다. 적절한 수면 관리가 필요합니다.</v>
      </c>
      <c r="E107" s="1" t="str">
        <f t="shared" si="29"/>
        <v>WOK01</v>
      </c>
      <c r="F107" s="1" t="str">
        <f t="shared" si="30"/>
        <v>PTM00</v>
      </c>
      <c r="G107" s="1" t="str">
        <f t="shared" si="31"/>
        <v>DIS600</v>
      </c>
      <c r="H107" s="1" t="str">
        <f>"REL21"</f>
        <v>REL21</v>
      </c>
      <c r="I107" s="1" t="str">
        <f>"HWFIRE11"</f>
        <v>HWFIRE11</v>
      </c>
      <c r="J107" s="1" t="str">
        <f t="shared" si="33"/>
        <v>N01A</v>
      </c>
      <c r="K107" s="1" t="str">
        <f t="shared" si="33"/>
        <v>N01A</v>
      </c>
      <c r="L107" s="1" t="str">
        <f t="shared" si="25"/>
        <v>R</v>
      </c>
      <c r="M107" s="1" t="str">
        <f>"T061"</f>
        <v>T061</v>
      </c>
      <c r="N107" s="1" t="str">
        <f t="shared" si="37"/>
        <v>Y</v>
      </c>
      <c r="O107" s="1" t="str">
        <f t="shared" si="37"/>
        <v>Y</v>
      </c>
      <c r="P107" s="1" t="str">
        <f t="shared" si="37"/>
        <v>Y</v>
      </c>
      <c r="Q107" s="1" t="str">
        <f t="shared" si="34"/>
        <v>A</v>
      </c>
    </row>
    <row r="108" spans="1:17" x14ac:dyDescent="0.3">
      <c r="A108" s="1" t="str">
        <f t="shared" si="24"/>
        <v>A</v>
      </c>
      <c r="B108" s="1" t="str">
        <f>"GNSNSD202"</f>
        <v>GNSNSD202</v>
      </c>
      <c r="C108" s="1" t="str">
        <f>"수면장애 주의"</f>
        <v>수면장애 주의</v>
      </c>
      <c r="D108" s="1" t="str">
        <f>"야간작업 관련 수면장애가 생길 수 있습니다. 적절한 수면 관리가 필요합니다."</f>
        <v>야간작업 관련 수면장애가 생길 수 있습니다. 적절한 수면 관리가 필요합니다.</v>
      </c>
      <c r="E108" s="1" t="str">
        <f t="shared" si="29"/>
        <v>WOK01</v>
      </c>
      <c r="F108" s="1" t="str">
        <f t="shared" si="30"/>
        <v>PTM00</v>
      </c>
      <c r="G108" s="1" t="str">
        <f t="shared" si="31"/>
        <v>DIS600</v>
      </c>
      <c r="H108" s="1" t="str">
        <f>"REL21"</f>
        <v>REL21</v>
      </c>
      <c r="I108" s="1" t="str">
        <f>"P0601"</f>
        <v>P0601</v>
      </c>
      <c r="J108" s="1" t="str">
        <f t="shared" si="33"/>
        <v>N01A</v>
      </c>
      <c r="K108" s="1" t="str">
        <f t="shared" si="33"/>
        <v>N01A</v>
      </c>
      <c r="L108" s="1" t="str">
        <f t="shared" si="25"/>
        <v>R</v>
      </c>
      <c r="M108" s="1" t="str">
        <f>"T061"</f>
        <v>T061</v>
      </c>
      <c r="N108" s="1" t="str">
        <f t="shared" si="37"/>
        <v>Y</v>
      </c>
      <c r="O108" s="1" t="str">
        <f t="shared" si="37"/>
        <v>Y</v>
      </c>
      <c r="P108" s="1" t="str">
        <f t="shared" si="37"/>
        <v>Y</v>
      </c>
      <c r="Q108" s="1" t="str">
        <f t="shared" si="34"/>
        <v>A</v>
      </c>
    </row>
    <row r="109" spans="1:17" x14ac:dyDescent="0.3">
      <c r="A109" s="1" t="str">
        <f t="shared" si="24"/>
        <v>A</v>
      </c>
      <c r="B109" s="1" t="str">
        <f>"GNTCH01"</f>
        <v>GNTCH01</v>
      </c>
      <c r="C109" s="1" t="str">
        <f>"(총콜레스테롤) 정상"</f>
        <v>(총콜레스테롤) 정상</v>
      </c>
      <c r="D109" s="1" t="str">
        <f>"혈중지질검사에서 총콜레스테롤 수치는 정상입니다."</f>
        <v>혈중지질검사에서 총콜레스테롤 수치는 정상입니다.</v>
      </c>
      <c r="E109" s="1" t="str">
        <f t="shared" si="29"/>
        <v>WOK01</v>
      </c>
      <c r="F109" s="1" t="str">
        <f t="shared" si="30"/>
        <v>PTM00</v>
      </c>
      <c r="G109" s="1" t="str">
        <f>"DISE"</f>
        <v>DISE</v>
      </c>
      <c r="H109" s="1" t="str">
        <f>"REL04"</f>
        <v>REL04</v>
      </c>
      <c r="I109" s="1" t="str">
        <f>""</f>
        <v/>
      </c>
      <c r="J109" s="1" t="str">
        <f>"C04C"</f>
        <v>C04C</v>
      </c>
      <c r="K109" s="1" t="str">
        <f>"C04C"</f>
        <v>C04C</v>
      </c>
      <c r="L109" s="1" t="str">
        <f t="shared" si="25"/>
        <v>R</v>
      </c>
      <c r="M109" s="1" t="str">
        <f>"T03"</f>
        <v>T03</v>
      </c>
      <c r="N109" s="1" t="str">
        <f t="shared" si="37"/>
        <v>Y</v>
      </c>
      <c r="O109" s="1" t="str">
        <f t="shared" si="37"/>
        <v>Y</v>
      </c>
      <c r="P109" s="1" t="str">
        <f t="shared" si="37"/>
        <v>Y</v>
      </c>
      <c r="Q109" s="1" t="str">
        <f t="shared" si="34"/>
        <v>A</v>
      </c>
    </row>
    <row r="110" spans="1:17" x14ac:dyDescent="0.3">
      <c r="A110" s="1" t="str">
        <f t="shared" si="24"/>
        <v>A</v>
      </c>
      <c r="B110" s="1" t="str">
        <f>"GNTG01"</f>
        <v>GNTG01</v>
      </c>
      <c r="C110" s="1" t="str">
        <f>"(중성지방) 정상"</f>
        <v>(중성지방) 정상</v>
      </c>
      <c r="D110" s="1" t="str">
        <f>"혈중지질검사에서 중성지방 수치는 정상입니다."</f>
        <v>혈중지질검사에서 중성지방 수치는 정상입니다.</v>
      </c>
      <c r="E110" s="1" t="str">
        <f t="shared" si="29"/>
        <v>WOK01</v>
      </c>
      <c r="F110" s="1" t="str">
        <f t="shared" si="30"/>
        <v>PTM00</v>
      </c>
      <c r="G110" s="1" t="str">
        <f>"DISE"</f>
        <v>DISE</v>
      </c>
      <c r="H110" s="1" t="str">
        <f>"REL04"</f>
        <v>REL04</v>
      </c>
      <c r="I110" s="1" t="str">
        <f>""</f>
        <v/>
      </c>
      <c r="J110" s="1" t="str">
        <f>"C04C"</f>
        <v>C04C</v>
      </c>
      <c r="K110" s="1" t="str">
        <f>"C04C"</f>
        <v>C04C</v>
      </c>
      <c r="L110" s="1" t="str">
        <f t="shared" si="25"/>
        <v>R</v>
      </c>
      <c r="M110" s="1" t="str">
        <f>"T03"</f>
        <v>T03</v>
      </c>
      <c r="N110" s="1" t="str">
        <f t="shared" si="37"/>
        <v>Y</v>
      </c>
      <c r="O110" s="1" t="str">
        <f t="shared" si="37"/>
        <v>Y</v>
      </c>
      <c r="P110" s="1" t="str">
        <f t="shared" si="37"/>
        <v>Y</v>
      </c>
      <c r="Q110" s="1" t="str">
        <f t="shared" si="34"/>
        <v>A</v>
      </c>
    </row>
    <row r="111" spans="1:17" x14ac:dyDescent="0.3">
      <c r="A111" s="1" t="str">
        <f t="shared" si="24"/>
        <v>A</v>
      </c>
      <c r="B111" s="1" t="str">
        <f>"GNUBB01"</f>
        <v>GNUBB01</v>
      </c>
      <c r="C111" s="1" t="str">
        <f>"잠혈반응 없음"</f>
        <v>잠혈반응 없음</v>
      </c>
      <c r="D111" s="1" t="s">
        <v>22</v>
      </c>
      <c r="E111" s="1" t="str">
        <f t="shared" si="29"/>
        <v>WOK01</v>
      </c>
      <c r="F111" s="1" t="str">
        <f>"PTM011"</f>
        <v>PTM011</v>
      </c>
      <c r="G111" s="1" t="str">
        <f>""</f>
        <v/>
      </c>
      <c r="H111" s="1" t="str">
        <f>"REL33"</f>
        <v>REL33</v>
      </c>
      <c r="I111" s="1" t="str">
        <f>""</f>
        <v/>
      </c>
      <c r="J111" s="1" t="str">
        <f>""</f>
        <v/>
      </c>
      <c r="K111" s="1" t="str">
        <f>""</f>
        <v/>
      </c>
      <c r="L111" s="1" t="str">
        <f t="shared" si="25"/>
        <v>R</v>
      </c>
      <c r="M111" s="1" t="str">
        <f>""</f>
        <v/>
      </c>
      <c r="N111" s="1" t="str">
        <f t="shared" si="37"/>
        <v>Y</v>
      </c>
      <c r="O111" s="1" t="str">
        <f t="shared" si="37"/>
        <v>Y</v>
      </c>
      <c r="P111" s="1" t="str">
        <f t="shared" si="37"/>
        <v>Y</v>
      </c>
      <c r="Q111" s="1" t="str">
        <f t="shared" si="34"/>
        <v>A</v>
      </c>
    </row>
    <row r="112" spans="1:17" x14ac:dyDescent="0.3">
      <c r="A112" s="1" t="str">
        <f t="shared" si="24"/>
        <v>A</v>
      </c>
      <c r="B112" s="1" t="str">
        <f>"GNUGFS00"</f>
        <v>GNUGFS00</v>
      </c>
      <c r="C112" s="1" t="str">
        <f>"정상"</f>
        <v>정상</v>
      </c>
      <c r="D112" s="1" t="str">
        <f>"위내시경 검사에서 특별한 이상소견 없었습니다. 정기적인 검진 받으시기 바랍니다."</f>
        <v>위내시경 검사에서 특별한 이상소견 없었습니다. 정기적인 검진 받으시기 바랍니다.</v>
      </c>
      <c r="E112" s="1" t="str">
        <f t="shared" si="29"/>
        <v>WOK01</v>
      </c>
      <c r="F112" s="1" t="str">
        <f>"PTM00"</f>
        <v>PTM00</v>
      </c>
      <c r="G112" s="1" t="str">
        <f>"DIS600"</f>
        <v>DIS600</v>
      </c>
      <c r="H112" s="1" t="str">
        <f>"REL37"</f>
        <v>REL37</v>
      </c>
      <c r="I112" s="1" t="str">
        <f>"HWFIRE11"</f>
        <v>HWFIRE11</v>
      </c>
      <c r="J112" s="1" t="str">
        <f>"N01D"</f>
        <v>N01D</v>
      </c>
      <c r="K112" s="1" t="str">
        <f>"C00A"</f>
        <v>C00A</v>
      </c>
      <c r="L112" s="1" t="str">
        <f t="shared" si="25"/>
        <v>R</v>
      </c>
      <c r="M112" s="1" t="str">
        <f>"T201"</f>
        <v>T201</v>
      </c>
      <c r="N112" s="1" t="str">
        <f t="shared" si="37"/>
        <v>Y</v>
      </c>
      <c r="O112" s="1" t="str">
        <f t="shared" si="37"/>
        <v>Y</v>
      </c>
      <c r="P112" s="1" t="str">
        <f t="shared" si="37"/>
        <v>Y</v>
      </c>
      <c r="Q112" s="1" t="str">
        <f t="shared" si="34"/>
        <v>A</v>
      </c>
    </row>
    <row r="113" spans="1:17" x14ac:dyDescent="0.3">
      <c r="A113" s="1" t="str">
        <f t="shared" si="24"/>
        <v>A</v>
      </c>
      <c r="B113" s="1" t="str">
        <f>"GNUMMG00"</f>
        <v>GNUMMG00</v>
      </c>
      <c r="C113" s="1" t="str">
        <f>"정상"</f>
        <v>정상</v>
      </c>
      <c r="D113" s="1" t="s">
        <v>23</v>
      </c>
      <c r="E113" s="1" t="str">
        <f t="shared" si="29"/>
        <v>WOK01</v>
      </c>
      <c r="F113" s="1" t="str">
        <f>"PTM00"</f>
        <v>PTM00</v>
      </c>
      <c r="G113" s="1" t="str">
        <f>""</f>
        <v/>
      </c>
      <c r="H113" s="1" t="str">
        <f>"REL11"</f>
        <v>REL11</v>
      </c>
      <c r="I113" s="1" t="str">
        <f>""</f>
        <v/>
      </c>
      <c r="J113" s="1" t="str">
        <f>""</f>
        <v/>
      </c>
      <c r="K113" s="1" t="str">
        <f>""</f>
        <v/>
      </c>
      <c r="L113" s="1" t="str">
        <f t="shared" si="25"/>
        <v>R</v>
      </c>
      <c r="M113" s="1" t="str">
        <f>"T21"</f>
        <v>T21</v>
      </c>
      <c r="N113" s="1" t="str">
        <f t="shared" si="37"/>
        <v>Y</v>
      </c>
      <c r="O113" s="1" t="str">
        <f t="shared" si="37"/>
        <v>Y</v>
      </c>
      <c r="P113" s="1" t="str">
        <f t="shared" si="37"/>
        <v>Y</v>
      </c>
      <c r="Q113" s="1" t="str">
        <f t="shared" si="34"/>
        <v>A</v>
      </c>
    </row>
    <row r="114" spans="1:17" x14ac:dyDescent="0.3">
      <c r="A114" s="1" t="str">
        <f t="shared" si="24"/>
        <v>A</v>
      </c>
      <c r="B114" s="1" t="str">
        <f>"GNUNPD00"</f>
        <v>GNUNPD00</v>
      </c>
      <c r="C114" s="1" t="str">
        <f>"정상"</f>
        <v>정상</v>
      </c>
      <c r="D114" s="1" t="str">
        <f>"수면장애 선별검사에서 특이소견 없습니다."</f>
        <v>수면장애 선별검사에서 특이소견 없습니다.</v>
      </c>
      <c r="E114" s="1" t="str">
        <f t="shared" si="29"/>
        <v>WOK01</v>
      </c>
      <c r="F114" s="1" t="str">
        <f>"PTM00"</f>
        <v>PTM00</v>
      </c>
      <c r="G114" s="1" t="str">
        <f>""</f>
        <v/>
      </c>
      <c r="H114" s="1" t="str">
        <f>"REL21"</f>
        <v>REL21</v>
      </c>
      <c r="I114" s="1" t="str">
        <f>""</f>
        <v/>
      </c>
      <c r="J114" s="1" t="str">
        <f>""</f>
        <v/>
      </c>
      <c r="K114" s="1" t="str">
        <f>""</f>
        <v/>
      </c>
      <c r="L114" s="1" t="str">
        <f t="shared" si="25"/>
        <v>R</v>
      </c>
      <c r="M114" s="1" t="str">
        <f>"T061"</f>
        <v>T061</v>
      </c>
      <c r="N114" s="1" t="str">
        <f t="shared" si="37"/>
        <v>Y</v>
      </c>
      <c r="O114" s="1" t="str">
        <f t="shared" si="37"/>
        <v>Y</v>
      </c>
      <c r="P114" s="1" t="str">
        <f t="shared" si="37"/>
        <v>Y</v>
      </c>
      <c r="Q114" s="1" t="str">
        <f t="shared" si="34"/>
        <v>A</v>
      </c>
    </row>
    <row r="115" spans="1:17" x14ac:dyDescent="0.3">
      <c r="A115" s="1" t="str">
        <f t="shared" si="24"/>
        <v>A</v>
      </c>
      <c r="B115" s="1" t="str">
        <f>"GNUNPD01"</f>
        <v>GNUNPD01</v>
      </c>
      <c r="C115" s="1" t="str">
        <f>"경미한 수면장애"</f>
        <v>경미한 수면장애</v>
      </c>
      <c r="D115" s="1" t="str">
        <f>"경미한 수면장애 소견이 있습니다. 적절한 수면 관리가 필요합니다."</f>
        <v>경미한 수면장애 소견이 있습니다. 적절한 수면 관리가 필요합니다.</v>
      </c>
      <c r="E115" s="1" t="str">
        <f>"WOK02"</f>
        <v>WOK02</v>
      </c>
      <c r="F115" s="1" t="str">
        <f>"PTM011"</f>
        <v>PTM011</v>
      </c>
      <c r="G115" s="1" t="str">
        <f>""</f>
        <v/>
      </c>
      <c r="H115" s="1" t="str">
        <f>"REL21"</f>
        <v>REL21</v>
      </c>
      <c r="I115" s="1" t="str">
        <f>""</f>
        <v/>
      </c>
      <c r="J115" s="1" t="str">
        <f>""</f>
        <v/>
      </c>
      <c r="K115" s="1" t="str">
        <f>""</f>
        <v/>
      </c>
      <c r="L115" s="1" t="str">
        <f t="shared" si="25"/>
        <v>R</v>
      </c>
      <c r="M115" s="1" t="str">
        <f>"T061"</f>
        <v>T061</v>
      </c>
      <c r="N115" s="1" t="str">
        <f t="shared" si="37"/>
        <v>Y</v>
      </c>
      <c r="O115" s="1" t="str">
        <f t="shared" si="37"/>
        <v>Y</v>
      </c>
      <c r="P115" s="1" t="str">
        <f t="shared" si="37"/>
        <v>Y</v>
      </c>
      <c r="Q115" s="1" t="str">
        <f t="shared" si="34"/>
        <v>A</v>
      </c>
    </row>
    <row r="116" spans="1:17" x14ac:dyDescent="0.3">
      <c r="A116" s="1" t="str">
        <f t="shared" si="24"/>
        <v>A</v>
      </c>
      <c r="B116" s="1" t="str">
        <f>"GNUPPD00"</f>
        <v>GNUPPD00</v>
      </c>
      <c r="C116" s="1" t="str">
        <f>"특이소견 없음"</f>
        <v>특이소견 없음</v>
      </c>
      <c r="D116" s="1" t="str">
        <f>"자궁경부-질 도말검사에서 특이소견은 없습니다. 매년 정기적으로 검진을 받으시기 바랍니다."</f>
        <v>자궁경부-질 도말검사에서 특이소견은 없습니다. 매년 정기적으로 검진을 받으시기 바랍니다.</v>
      </c>
      <c r="E116" s="1" t="str">
        <f>"WOK01"</f>
        <v>WOK01</v>
      </c>
      <c r="F116" s="1" t="str">
        <f>"PTM00"</f>
        <v>PTM00</v>
      </c>
      <c r="G116" s="1" t="str">
        <f>""</f>
        <v/>
      </c>
      <c r="H116" s="1" t="str">
        <f>"REL11"</f>
        <v>REL11</v>
      </c>
      <c r="I116" s="1" t="str">
        <f>""</f>
        <v/>
      </c>
      <c r="J116" s="1" t="str">
        <f>""</f>
        <v/>
      </c>
      <c r="K116" s="1" t="str">
        <f>""</f>
        <v/>
      </c>
      <c r="L116" s="1" t="str">
        <f t="shared" si="25"/>
        <v>R</v>
      </c>
      <c r="M116" s="1" t="str">
        <f>"T07"</f>
        <v>T07</v>
      </c>
      <c r="N116" s="1" t="str">
        <f t="shared" si="37"/>
        <v>Y</v>
      </c>
      <c r="O116" s="1" t="str">
        <f t="shared" si="37"/>
        <v>Y</v>
      </c>
      <c r="P116" s="1" t="str">
        <f t="shared" si="37"/>
        <v>Y</v>
      </c>
      <c r="Q116" s="1" t="str">
        <f t="shared" si="34"/>
        <v>A</v>
      </c>
    </row>
    <row r="117" spans="1:17" x14ac:dyDescent="0.3">
      <c r="A117" s="1" t="str">
        <f t="shared" si="24"/>
        <v>A</v>
      </c>
      <c r="B117" s="1" t="str">
        <f>"GNURAB00"</f>
        <v>GNURAB00</v>
      </c>
      <c r="C117" s="1" t="str">
        <f>"특이소견 없음"</f>
        <v>특이소견 없음</v>
      </c>
      <c r="D117" s="1" t="str">
        <f>"간 초음파에서 특이소견이 없습니다."</f>
        <v>간 초음파에서 특이소견이 없습니다.</v>
      </c>
      <c r="E117" s="1" t="str">
        <f>"WOK01"</f>
        <v>WOK01</v>
      </c>
      <c r="F117" s="1" t="str">
        <f>"PTM00"</f>
        <v>PTM00</v>
      </c>
      <c r="G117" s="1" t="str">
        <f>""</f>
        <v/>
      </c>
      <c r="H117" s="1" t="str">
        <f>"REL05"</f>
        <v>REL05</v>
      </c>
      <c r="I117" s="1" t="str">
        <f>""</f>
        <v/>
      </c>
      <c r="J117" s="1" t="str">
        <f>""</f>
        <v/>
      </c>
      <c r="K117" s="1" t="str">
        <f>""</f>
        <v/>
      </c>
      <c r="L117" s="1" t="str">
        <f t="shared" si="25"/>
        <v>R</v>
      </c>
      <c r="M117" s="1" t="str">
        <f>"T02"</f>
        <v>T02</v>
      </c>
      <c r="N117" s="1" t="str">
        <f t="shared" si="37"/>
        <v>Y</v>
      </c>
      <c r="O117" s="1" t="str">
        <f t="shared" si="37"/>
        <v>Y</v>
      </c>
      <c r="P117" s="1" t="str">
        <f t="shared" si="37"/>
        <v>Y</v>
      </c>
      <c r="Q117" s="1" t="str">
        <f t="shared" si="34"/>
        <v>A</v>
      </c>
    </row>
    <row r="118" spans="1:17" x14ac:dyDescent="0.3">
      <c r="A118" s="1" t="str">
        <f t="shared" si="24"/>
        <v>A</v>
      </c>
      <c r="B118" s="1" t="str">
        <f>"GNUSPI01"</f>
        <v>GNUSPI01</v>
      </c>
      <c r="C118" s="1" t="str">
        <f>"특이소견 없음"</f>
        <v>특이소견 없음</v>
      </c>
      <c r="D118" s="1" t="str">
        <f>"경추 MRI에서 특이소견 없습니다."</f>
        <v>경추 MRI에서 특이소견 없습니다.</v>
      </c>
      <c r="E118" s="1" t="str">
        <f>"WOK01"</f>
        <v>WOK01</v>
      </c>
      <c r="F118" s="1" t="str">
        <f>"PTM00"</f>
        <v>PTM00</v>
      </c>
      <c r="G118" s="1" t="str">
        <f>""</f>
        <v/>
      </c>
      <c r="H118" s="1" t="str">
        <f>"REL22"</f>
        <v>REL22</v>
      </c>
      <c r="I118" s="1" t="str">
        <f>"HWFIRE18"</f>
        <v>HWFIRE18</v>
      </c>
      <c r="J118" s="1" t="str">
        <f>""</f>
        <v/>
      </c>
      <c r="K118" s="1" t="str">
        <f>""</f>
        <v/>
      </c>
      <c r="L118" s="1" t="str">
        <f t="shared" si="25"/>
        <v>R</v>
      </c>
      <c r="M118" s="1" t="str">
        <f>"T19"</f>
        <v>T19</v>
      </c>
      <c r="N118" s="1" t="str">
        <f t="shared" si="37"/>
        <v>Y</v>
      </c>
      <c r="O118" s="1" t="str">
        <f t="shared" si="37"/>
        <v>Y</v>
      </c>
      <c r="P118" s="1" t="str">
        <f t="shared" si="37"/>
        <v>Y</v>
      </c>
      <c r="Q118" s="1" t="str">
        <f t="shared" si="34"/>
        <v>A</v>
      </c>
    </row>
    <row r="119" spans="1:17" x14ac:dyDescent="0.3">
      <c r="A119" s="1" t="str">
        <f t="shared" si="24"/>
        <v>A</v>
      </c>
      <c r="B119" s="1" t="str">
        <f>"GNWC01"</f>
        <v>GNWC01</v>
      </c>
      <c r="C119" s="1" t="str">
        <f>"정상"</f>
        <v>정상</v>
      </c>
      <c r="D119" s="1" t="str">
        <f>""</f>
        <v/>
      </c>
      <c r="E119" s="1" t="str">
        <f>"WOK02"</f>
        <v>WOK02</v>
      </c>
      <c r="F119" s="1" t="str">
        <f>""</f>
        <v/>
      </c>
      <c r="G119" s="1" t="str">
        <f>"DISE"</f>
        <v>DISE</v>
      </c>
      <c r="H119" s="1" t="str">
        <f>"REL10"</f>
        <v>REL10</v>
      </c>
      <c r="I119" s="1" t="str">
        <f>""</f>
        <v/>
      </c>
      <c r="J119" s="1" t="str">
        <f>"C35R"</f>
        <v>C35R</v>
      </c>
      <c r="K119" s="1" t="str">
        <f>"C35R"</f>
        <v>C35R</v>
      </c>
      <c r="L119" s="1" t="str">
        <f t="shared" si="25"/>
        <v>R</v>
      </c>
      <c r="M119" s="1" t="str">
        <f>""</f>
        <v/>
      </c>
      <c r="N119" s="1" t="str">
        <f t="shared" si="37"/>
        <v>Y</v>
      </c>
      <c r="O119" s="1" t="str">
        <f t="shared" si="37"/>
        <v>Y</v>
      </c>
      <c r="P119" s="1" t="str">
        <f t="shared" si="37"/>
        <v>Y</v>
      </c>
      <c r="Q119" s="1" t="str">
        <f t="shared" ref="Q119:Q141" si="38">"A"</f>
        <v>A</v>
      </c>
    </row>
    <row r="120" spans="1:17" x14ac:dyDescent="0.3">
      <c r="A120" s="1" t="str">
        <f t="shared" si="24"/>
        <v>A</v>
      </c>
      <c r="B120" s="1" t="str">
        <f>"GNX03"</f>
        <v>GNX03</v>
      </c>
      <c r="C120" s="1" t="str">
        <f>"비활동성(정상)"</f>
        <v>비활동성(정상)</v>
      </c>
      <c r="D120" s="1" t="s">
        <v>24</v>
      </c>
      <c r="E120" s="1" t="str">
        <f>"WOK01"</f>
        <v>WOK01</v>
      </c>
      <c r="F120" s="1" t="str">
        <f>"PTM00"</f>
        <v>PTM00</v>
      </c>
      <c r="G120" s="1" t="str">
        <f>"DISJ"</f>
        <v>DISJ</v>
      </c>
      <c r="H120" s="1" t="str">
        <f>"REL02"</f>
        <v>REL02</v>
      </c>
      <c r="I120" s="1" t="str">
        <f>""</f>
        <v/>
      </c>
      <c r="J120" s="1" t="str">
        <f>"C40A"</f>
        <v>C40A</v>
      </c>
      <c r="K120" s="1" t="str">
        <f>"C00A"</f>
        <v>C00A</v>
      </c>
      <c r="L120" s="1" t="str">
        <f t="shared" si="25"/>
        <v>R</v>
      </c>
      <c r="M120" s="1" t="str">
        <f>"T04"</f>
        <v>T04</v>
      </c>
      <c r="N120" s="1" t="str">
        <f t="shared" si="37"/>
        <v>Y</v>
      </c>
      <c r="O120" s="1" t="str">
        <f t="shared" si="37"/>
        <v>Y</v>
      </c>
      <c r="P120" s="1" t="str">
        <f t="shared" si="37"/>
        <v>Y</v>
      </c>
      <c r="Q120" s="1" t="str">
        <f t="shared" si="38"/>
        <v>A</v>
      </c>
    </row>
    <row r="121" spans="1:17" x14ac:dyDescent="0.3">
      <c r="A121" s="1" t="str">
        <f t="shared" si="24"/>
        <v>A</v>
      </c>
      <c r="B121" s="1" t="str">
        <f>"GO501"</f>
        <v>GO501</v>
      </c>
      <c r="C121" s="1" t="str">
        <f>"2차검사상 혈중납 정상"</f>
        <v>2차검사상 혈중납 정상</v>
      </c>
      <c r="D121" s="1" t="s">
        <v>25</v>
      </c>
      <c r="E121" s="1" t="str">
        <f>"WOK01"</f>
        <v>WOK01</v>
      </c>
      <c r="F121" s="1" t="str">
        <f>"PTM00"</f>
        <v>PTM00</v>
      </c>
      <c r="G121" s="1" t="str">
        <f>"DIS306"</f>
        <v>DIS306</v>
      </c>
      <c r="H121" s="1" t="str">
        <f>"REL16"</f>
        <v>REL16</v>
      </c>
      <c r="I121" s="1" t="str">
        <f>"N0111"</f>
        <v>N0111</v>
      </c>
      <c r="J121" s="1" t="str">
        <f>"S01A"</f>
        <v>S01A</v>
      </c>
      <c r="K121" s="1" t="str">
        <f>"S01A"</f>
        <v>S01A</v>
      </c>
      <c r="L121" s="1" t="str">
        <f t="shared" si="25"/>
        <v>R</v>
      </c>
      <c r="M121" s="1" t="str">
        <f>"T12"</f>
        <v>T12</v>
      </c>
      <c r="N121" s="1" t="str">
        <f t="shared" si="37"/>
        <v>Y</v>
      </c>
      <c r="O121" s="1" t="str">
        <f t="shared" si="37"/>
        <v>Y</v>
      </c>
      <c r="P121" s="1" t="str">
        <f t="shared" si="37"/>
        <v>Y</v>
      </c>
      <c r="Q121" s="1" t="str">
        <f t="shared" si="38"/>
        <v>A</v>
      </c>
    </row>
    <row r="122" spans="1:17" x14ac:dyDescent="0.3">
      <c r="A122" s="1" t="str">
        <f t="shared" si="24"/>
        <v>A</v>
      </c>
      <c r="B122" s="1" t="str">
        <f>"HBGJA01"</f>
        <v>HBGJA01</v>
      </c>
      <c r="C122" s="1" t="str">
        <f>"B형 간염 항원 음성"</f>
        <v>B형 간염 항원 음성</v>
      </c>
      <c r="D122" s="1" t="str">
        <f>"B형간염 항원은 음성으로 현재 감염 소견은 없습니다."</f>
        <v>B형간염 항원은 음성으로 현재 감염 소견은 없습니다.</v>
      </c>
      <c r="E122" s="1" t="str">
        <f>""</f>
        <v/>
      </c>
      <c r="F122" s="1" t="str">
        <f>""</f>
        <v/>
      </c>
      <c r="G122" s="1" t="str">
        <f>""</f>
        <v/>
      </c>
      <c r="H122" s="1" t="str">
        <f>""</f>
        <v/>
      </c>
      <c r="I122" s="1" t="str">
        <f>""</f>
        <v/>
      </c>
      <c r="J122" s="1" t="str">
        <f>""</f>
        <v/>
      </c>
      <c r="K122" s="1" t="str">
        <f>""</f>
        <v/>
      </c>
      <c r="L122" s="1" t="str">
        <f t="shared" si="25"/>
        <v>R</v>
      </c>
      <c r="M122" s="1" t="str">
        <f>""</f>
        <v/>
      </c>
      <c r="N122" s="1" t="str">
        <f t="shared" ref="N122:P137" si="39">"Y"</f>
        <v>Y</v>
      </c>
      <c r="O122" s="1" t="str">
        <f t="shared" si="39"/>
        <v>Y</v>
      </c>
      <c r="P122" s="1" t="str">
        <f t="shared" si="39"/>
        <v>Y</v>
      </c>
      <c r="Q122" s="1" t="str">
        <f t="shared" si="38"/>
        <v>A</v>
      </c>
    </row>
    <row r="123" spans="1:17" x14ac:dyDescent="0.3">
      <c r="A123" s="1" t="str">
        <f t="shared" si="24"/>
        <v>A</v>
      </c>
      <c r="B123" s="1" t="str">
        <f>"HCBJA01"</f>
        <v>HCBJA01</v>
      </c>
      <c r="C123" s="1" t="str">
        <f>"C형 간염 항체 음성"</f>
        <v>C형 간염 항체 음성</v>
      </c>
      <c r="D123" s="1" t="str">
        <f>"C형간염 항체 음성으로 C형간염에 걸린 적이 없는 상태입니다. 정상 소견입니다."</f>
        <v>C형간염 항체 음성으로 C형간염에 걸린 적이 없는 상태입니다. 정상 소견입니다.</v>
      </c>
      <c r="E123" s="1" t="str">
        <f t="shared" ref="E123:E139" si="40">"WOK01"</f>
        <v>WOK01</v>
      </c>
      <c r="F123" s="1" t="str">
        <f t="shared" ref="F123:F129" si="41">"PTM00"</f>
        <v>PTM00</v>
      </c>
      <c r="G123" s="1" t="str">
        <f>""</f>
        <v/>
      </c>
      <c r="H123" s="1" t="str">
        <f>""</f>
        <v/>
      </c>
      <c r="I123" s="1" t="str">
        <f>""</f>
        <v/>
      </c>
      <c r="J123" s="1" t="str">
        <f>""</f>
        <v/>
      </c>
      <c r="K123" s="1" t="str">
        <f>""</f>
        <v/>
      </c>
      <c r="L123" s="1" t="str">
        <f t="shared" si="25"/>
        <v>R</v>
      </c>
      <c r="M123" s="1" t="str">
        <f>""</f>
        <v/>
      </c>
      <c r="N123" s="1" t="str">
        <f t="shared" si="39"/>
        <v>Y</v>
      </c>
      <c r="O123" s="1" t="str">
        <f t="shared" si="39"/>
        <v>Y</v>
      </c>
      <c r="P123" s="1" t="str">
        <f t="shared" si="39"/>
        <v>Y</v>
      </c>
      <c r="Q123" s="1" t="str">
        <f t="shared" si="38"/>
        <v>A</v>
      </c>
    </row>
    <row r="124" spans="1:17" x14ac:dyDescent="0.3">
      <c r="A124" s="1" t="str">
        <f t="shared" si="24"/>
        <v>A</v>
      </c>
      <c r="B124" s="1" t="str">
        <f>"HEP101"</f>
        <v>HEP101</v>
      </c>
      <c r="C124" s="1" t="str">
        <f>"간기능 정상"</f>
        <v>간기능 정상</v>
      </c>
      <c r="D124" s="1" t="str">
        <f>"간기능검사상 특이소견 없습니다."</f>
        <v>간기능검사상 특이소견 없습니다.</v>
      </c>
      <c r="E124" s="1" t="str">
        <f t="shared" si="40"/>
        <v>WOK01</v>
      </c>
      <c r="F124" s="1" t="str">
        <f t="shared" si="41"/>
        <v>PTM00</v>
      </c>
      <c r="G124" s="1" t="str">
        <f>"DISK"</f>
        <v>DISK</v>
      </c>
      <c r="H124" s="1" t="str">
        <f>"REL05"</f>
        <v>REL05</v>
      </c>
      <c r="I124" s="1" t="str">
        <f>""</f>
        <v/>
      </c>
      <c r="J124" s="1" t="str">
        <f>"C05A"</f>
        <v>C05A</v>
      </c>
      <c r="K124" s="1" t="str">
        <f>"C05A"</f>
        <v>C05A</v>
      </c>
      <c r="L124" s="1" t="str">
        <f t="shared" si="25"/>
        <v>R</v>
      </c>
      <c r="M124" s="1" t="str">
        <f>"T02"</f>
        <v>T02</v>
      </c>
      <c r="N124" s="1" t="str">
        <f t="shared" si="39"/>
        <v>Y</v>
      </c>
      <c r="O124" s="1" t="str">
        <f t="shared" si="39"/>
        <v>Y</v>
      </c>
      <c r="P124" s="1" t="str">
        <f t="shared" si="39"/>
        <v>Y</v>
      </c>
      <c r="Q124" s="1" t="str">
        <f t="shared" si="38"/>
        <v>A</v>
      </c>
    </row>
    <row r="125" spans="1:17" x14ac:dyDescent="0.3">
      <c r="A125" s="1" t="str">
        <f t="shared" si="24"/>
        <v>A</v>
      </c>
      <c r="B125" s="1" t="str">
        <f>"HEPAB1"</f>
        <v>HEPAB1</v>
      </c>
      <c r="C125" s="1" t="str">
        <f>"B형 간염 항체 있음"</f>
        <v>B형 간염 항체 있음</v>
      </c>
      <c r="D125" s="1" t="str">
        <f>"B형 간염 항체가 있습니다. B형 간염에 대한 면역이 형성된 상태입니다."</f>
        <v>B형 간염 항체가 있습니다. B형 간염에 대한 면역이 형성된 상태입니다.</v>
      </c>
      <c r="E125" s="1" t="str">
        <f t="shared" si="40"/>
        <v>WOK01</v>
      </c>
      <c r="F125" s="1" t="str">
        <f t="shared" si="41"/>
        <v>PTM00</v>
      </c>
      <c r="G125" s="1" t="str">
        <f>"DISB"</f>
        <v>DISB</v>
      </c>
      <c r="H125" s="1" t="str">
        <f>"REL05"</f>
        <v>REL05</v>
      </c>
      <c r="I125" s="1" t="str">
        <f>""</f>
        <v/>
      </c>
      <c r="J125" s="1" t="str">
        <f>"N01A"</f>
        <v>N01A</v>
      </c>
      <c r="K125" s="1" t="str">
        <f>"C00A"</f>
        <v>C00A</v>
      </c>
      <c r="L125" s="1" t="str">
        <f t="shared" si="25"/>
        <v>R</v>
      </c>
      <c r="M125" s="1" t="str">
        <f>"T02"</f>
        <v>T02</v>
      </c>
      <c r="N125" s="1" t="str">
        <f t="shared" si="39"/>
        <v>Y</v>
      </c>
      <c r="O125" s="1" t="str">
        <f t="shared" si="39"/>
        <v>Y</v>
      </c>
      <c r="P125" s="1" t="str">
        <f t="shared" si="39"/>
        <v>Y</v>
      </c>
      <c r="Q125" s="1" t="str">
        <f t="shared" si="38"/>
        <v>A</v>
      </c>
    </row>
    <row r="126" spans="1:17" x14ac:dyDescent="0.3">
      <c r="A126" s="1" t="str">
        <f t="shared" si="24"/>
        <v>A</v>
      </c>
      <c r="B126" s="1" t="str">
        <f>"HEPLT4"</f>
        <v>HEPLT4</v>
      </c>
      <c r="C126" s="1" t="str">
        <f>"양성(B형간염항체)"</f>
        <v>양성(B형간염항체)</v>
      </c>
      <c r="D126" s="1" t="str">
        <f>"B형 간염에 대한 면역이 형성된 상태이므로 예방접종은 필요없습니다."</f>
        <v>B형 간염에 대한 면역이 형성된 상태이므로 예방접종은 필요없습니다.</v>
      </c>
      <c r="E126" s="1" t="str">
        <f t="shared" si="40"/>
        <v>WOK01</v>
      </c>
      <c r="F126" s="1" t="str">
        <f t="shared" si="41"/>
        <v>PTM00</v>
      </c>
      <c r="G126" s="1" t="str">
        <f>"DISB"</f>
        <v>DISB</v>
      </c>
      <c r="H126" s="1" t="str">
        <f>"REL05"</f>
        <v>REL05</v>
      </c>
      <c r="I126" s="1" t="str">
        <f>""</f>
        <v/>
      </c>
      <c r="J126" s="1" t="str">
        <f>"C05A"</f>
        <v>C05A</v>
      </c>
      <c r="K126" s="1" t="str">
        <f>"C05A"</f>
        <v>C05A</v>
      </c>
      <c r="L126" s="1" t="str">
        <f t="shared" si="25"/>
        <v>R</v>
      </c>
      <c r="M126" s="1" t="str">
        <f>"T02"</f>
        <v>T02</v>
      </c>
      <c r="N126" s="1" t="str">
        <f t="shared" si="39"/>
        <v>Y</v>
      </c>
      <c r="O126" s="1" t="str">
        <f t="shared" si="39"/>
        <v>Y</v>
      </c>
      <c r="P126" s="1" t="str">
        <f t="shared" si="39"/>
        <v>Y</v>
      </c>
      <c r="Q126" s="1" t="str">
        <f t="shared" si="38"/>
        <v>A</v>
      </c>
    </row>
    <row r="127" spans="1:17" x14ac:dyDescent="0.3">
      <c r="A127" s="1" t="str">
        <f t="shared" si="24"/>
        <v>A</v>
      </c>
      <c r="B127" s="1" t="str">
        <f>"HPT202"</f>
        <v>HPT202</v>
      </c>
      <c r="C127" s="1" t="str">
        <f>"(2차검사상)혈압 정상"</f>
        <v>(2차검사상)혈압 정상</v>
      </c>
      <c r="D127" s="1" t="str">
        <f>"고혈압 재검사상 정상혈압범위내에 있습니다. 주기적 혈압체크하세요."</f>
        <v>고혈압 재검사상 정상혈압범위내에 있습니다. 주기적 혈압체크하세요.</v>
      </c>
      <c r="E127" s="1" t="str">
        <f t="shared" si="40"/>
        <v>WOK01</v>
      </c>
      <c r="F127" s="1" t="str">
        <f t="shared" si="41"/>
        <v>PTM00</v>
      </c>
      <c r="G127" s="1" t="str">
        <f>"DISI"</f>
        <v>DISI</v>
      </c>
      <c r="H127" s="1" t="str">
        <f>"REL03"</f>
        <v>REL03</v>
      </c>
      <c r="I127" s="1" t="str">
        <f>""</f>
        <v/>
      </c>
      <c r="J127" s="1" t="str">
        <f>"C03A"</f>
        <v>C03A</v>
      </c>
      <c r="K127" s="1" t="str">
        <f>"C03A"</f>
        <v>C03A</v>
      </c>
      <c r="L127" s="1" t="str">
        <f t="shared" si="25"/>
        <v>R</v>
      </c>
      <c r="M127" s="1" t="str">
        <f>"T03"</f>
        <v>T03</v>
      </c>
      <c r="N127" s="1" t="str">
        <f t="shared" si="39"/>
        <v>Y</v>
      </c>
      <c r="O127" s="1" t="str">
        <f t="shared" si="39"/>
        <v>Y</v>
      </c>
      <c r="P127" s="1" t="str">
        <f t="shared" si="39"/>
        <v>Y</v>
      </c>
      <c r="Q127" s="1" t="str">
        <f t="shared" si="38"/>
        <v>A</v>
      </c>
    </row>
    <row r="128" spans="1:17" x14ac:dyDescent="0.3">
      <c r="A128" s="1" t="str">
        <f t="shared" si="24"/>
        <v>A</v>
      </c>
      <c r="B128" s="1" t="str">
        <f>"HPT202N"</f>
        <v>HPT202N</v>
      </c>
      <c r="C128" s="1" t="str">
        <f>"(2차 검사상)혈압 관리"</f>
        <v>(2차 검사상)혈압 관리</v>
      </c>
      <c r="D128" s="1" t="s">
        <v>26</v>
      </c>
      <c r="E128" s="1" t="str">
        <f t="shared" si="40"/>
        <v>WOK01</v>
      </c>
      <c r="F128" s="1" t="str">
        <f t="shared" si="41"/>
        <v>PTM00</v>
      </c>
      <c r="G128" s="1" t="str">
        <f>"DIS600"</f>
        <v>DIS600</v>
      </c>
      <c r="H128" s="1" t="str">
        <f>"REL03"</f>
        <v>REL03</v>
      </c>
      <c r="I128" s="1" t="str">
        <f>""</f>
        <v/>
      </c>
      <c r="J128" s="1" t="str">
        <f>"N01A"</f>
        <v>N01A</v>
      </c>
      <c r="K128" s="1" t="str">
        <f>"N01A"</f>
        <v>N01A</v>
      </c>
      <c r="L128" s="1" t="str">
        <f t="shared" si="25"/>
        <v>R</v>
      </c>
      <c r="M128" s="1" t="str">
        <f>"T031"</f>
        <v>T031</v>
      </c>
      <c r="N128" s="1" t="str">
        <f t="shared" si="39"/>
        <v>Y</v>
      </c>
      <c r="O128" s="1" t="str">
        <f t="shared" si="39"/>
        <v>Y</v>
      </c>
      <c r="P128" s="1" t="str">
        <f t="shared" si="39"/>
        <v>Y</v>
      </c>
      <c r="Q128" s="1" t="str">
        <f t="shared" si="38"/>
        <v>A</v>
      </c>
    </row>
    <row r="129" spans="1:17" x14ac:dyDescent="0.3">
      <c r="A129" s="1" t="str">
        <f t="shared" si="24"/>
        <v>A</v>
      </c>
      <c r="B129" s="1" t="str">
        <f>"HPT203N"</f>
        <v>HPT203N</v>
      </c>
      <c r="C129" s="1" t="str">
        <f>"(2차 검사상)혈압 관리"</f>
        <v>(2차 검사상)혈압 관리</v>
      </c>
      <c r="D129" s="1" t="str">
        <f>"주기적 관찰"</f>
        <v>주기적 관찰</v>
      </c>
      <c r="E129" s="1" t="str">
        <f t="shared" si="40"/>
        <v>WOK01</v>
      </c>
      <c r="F129" s="1" t="str">
        <f t="shared" si="41"/>
        <v>PTM00</v>
      </c>
      <c r="G129" s="1" t="str">
        <f>"DIS600"</f>
        <v>DIS600</v>
      </c>
      <c r="H129" s="1" t="str">
        <f>"REL03"</f>
        <v>REL03</v>
      </c>
      <c r="I129" s="1" t="str">
        <f>""</f>
        <v/>
      </c>
      <c r="J129" s="1" t="str">
        <f>"N01A"</f>
        <v>N01A</v>
      </c>
      <c r="K129" s="1" t="str">
        <f>"N01A"</f>
        <v>N01A</v>
      </c>
      <c r="L129" s="1" t="str">
        <f t="shared" si="25"/>
        <v>R</v>
      </c>
      <c r="M129" s="1" t="str">
        <f>"T031"</f>
        <v>T031</v>
      </c>
      <c r="N129" s="1" t="str">
        <f t="shared" si="39"/>
        <v>Y</v>
      </c>
      <c r="O129" s="1" t="str">
        <f t="shared" si="39"/>
        <v>Y</v>
      </c>
      <c r="P129" s="1" t="str">
        <f t="shared" si="39"/>
        <v>Y</v>
      </c>
      <c r="Q129" s="1" t="str">
        <f t="shared" si="38"/>
        <v>A</v>
      </c>
    </row>
    <row r="130" spans="1:17" x14ac:dyDescent="0.3">
      <c r="A130" s="1" t="str">
        <f t="shared" ref="A130:A193" si="42">"A"</f>
        <v>A</v>
      </c>
      <c r="B130" s="1" t="str">
        <f>"HPTLT3"</f>
        <v>HPTLT3</v>
      </c>
      <c r="C130" s="1" t="str">
        <f>"혈압 정상"</f>
        <v>혈압 정상</v>
      </c>
      <c r="D130" s="1" t="s">
        <v>27</v>
      </c>
      <c r="E130" s="1" t="str">
        <f t="shared" si="40"/>
        <v>WOK01</v>
      </c>
      <c r="F130" s="1" t="str">
        <f>""</f>
        <v/>
      </c>
      <c r="G130" s="1" t="str">
        <f>""</f>
        <v/>
      </c>
      <c r="H130" s="1" t="str">
        <f>""</f>
        <v/>
      </c>
      <c r="I130" s="1" t="str">
        <f>""</f>
        <v/>
      </c>
      <c r="J130" s="1" t="str">
        <f>"C03A"</f>
        <v>C03A</v>
      </c>
      <c r="K130" s="1" t="str">
        <f>"C03A"</f>
        <v>C03A</v>
      </c>
      <c r="L130" s="1" t="str">
        <f t="shared" ref="L130:L193" si="43">"R"</f>
        <v>R</v>
      </c>
      <c r="M130" s="1" t="str">
        <f>"T03"</f>
        <v>T03</v>
      </c>
      <c r="N130" s="1" t="str">
        <f t="shared" si="39"/>
        <v>Y</v>
      </c>
      <c r="O130" s="1" t="str">
        <f t="shared" si="39"/>
        <v>Y</v>
      </c>
      <c r="P130" s="1" t="str">
        <f t="shared" si="39"/>
        <v>Y</v>
      </c>
      <c r="Q130" s="1" t="str">
        <f t="shared" si="38"/>
        <v>A</v>
      </c>
    </row>
    <row r="131" spans="1:17" x14ac:dyDescent="0.3">
      <c r="A131" s="1" t="str">
        <f t="shared" si="42"/>
        <v>A</v>
      </c>
      <c r="B131" s="1" t="str">
        <f>"HPTLT7"</f>
        <v>HPTLT7</v>
      </c>
      <c r="C131" s="1" t="str">
        <f>"저혈압"</f>
        <v>저혈압</v>
      </c>
      <c r="D131" s="1" t="s">
        <v>21</v>
      </c>
      <c r="E131" s="1" t="str">
        <f t="shared" si="40"/>
        <v>WOK01</v>
      </c>
      <c r="F131" s="1" t="str">
        <f t="shared" ref="F131:F137" si="44">"PTM00"</f>
        <v>PTM00</v>
      </c>
      <c r="G131" s="1" t="str">
        <f>"DISI"</f>
        <v>DISI</v>
      </c>
      <c r="H131" s="1" t="str">
        <f>"REL06"</f>
        <v>REL06</v>
      </c>
      <c r="I131" s="1" t="str">
        <f>""</f>
        <v/>
      </c>
      <c r="J131" s="1" t="str">
        <f>"N01A"</f>
        <v>N01A</v>
      </c>
      <c r="K131" s="1" t="str">
        <f>"N01A"</f>
        <v>N01A</v>
      </c>
      <c r="L131" s="1" t="str">
        <f t="shared" si="43"/>
        <v>R</v>
      </c>
      <c r="M131" s="1" t="str">
        <f>"T05"</f>
        <v>T05</v>
      </c>
      <c r="N131" s="1" t="str">
        <f t="shared" si="39"/>
        <v>Y</v>
      </c>
      <c r="O131" s="1" t="str">
        <f t="shared" si="39"/>
        <v>Y</v>
      </c>
      <c r="P131" s="1" t="str">
        <f t="shared" si="39"/>
        <v>Y</v>
      </c>
      <c r="Q131" s="1" t="str">
        <f t="shared" si="38"/>
        <v>A</v>
      </c>
    </row>
    <row r="132" spans="1:17" x14ac:dyDescent="0.3">
      <c r="A132" s="1" t="str">
        <f t="shared" si="42"/>
        <v>A</v>
      </c>
      <c r="B132" s="1" t="str">
        <f>"HTU"</f>
        <v>HTU</v>
      </c>
      <c r="C132" s="1" t="str">
        <f>"혈뇨에 대한 뇨현미경검사상 정상"</f>
        <v>혈뇨에 대한 뇨현미경검사상 정상</v>
      </c>
      <c r="D132" s="1" t="str">
        <f>"2차검사상 정상입니다."</f>
        <v>2차검사상 정상입니다.</v>
      </c>
      <c r="E132" s="1" t="str">
        <f t="shared" si="40"/>
        <v>WOK01</v>
      </c>
      <c r="F132" s="1" t="str">
        <f t="shared" si="44"/>
        <v>PTM00</v>
      </c>
      <c r="G132" s="1" t="str">
        <f>"DISN"</f>
        <v>DISN</v>
      </c>
      <c r="H132" s="1" t="str">
        <f>"REL09"</f>
        <v>REL09</v>
      </c>
      <c r="I132" s="1" t="str">
        <f>""</f>
        <v/>
      </c>
      <c r="J132" s="1" t="str">
        <f>"C44A"</f>
        <v>C44A</v>
      </c>
      <c r="K132" s="1" t="str">
        <f>"C44A"</f>
        <v>C44A</v>
      </c>
      <c r="L132" s="1" t="str">
        <f t="shared" si="43"/>
        <v>R</v>
      </c>
      <c r="M132" s="1" t="str">
        <f>"T05"</f>
        <v>T05</v>
      </c>
      <c r="N132" s="1" t="str">
        <f t="shared" si="39"/>
        <v>Y</v>
      </c>
      <c r="O132" s="1" t="str">
        <f t="shared" si="39"/>
        <v>Y</v>
      </c>
      <c r="P132" s="1" t="str">
        <f t="shared" si="39"/>
        <v>Y</v>
      </c>
      <c r="Q132" s="1" t="str">
        <f t="shared" si="38"/>
        <v>A</v>
      </c>
    </row>
    <row r="133" spans="1:17" x14ac:dyDescent="0.3">
      <c r="A133" s="1" t="str">
        <f t="shared" si="42"/>
        <v>A</v>
      </c>
      <c r="B133" s="1" t="str">
        <f>"HTULT1"</f>
        <v>HTULT1</v>
      </c>
      <c r="C133" s="1" t="str">
        <f>"경미한 혈뇨(약양성)"</f>
        <v>경미한 혈뇨(약양성)</v>
      </c>
      <c r="D133" s="1" t="str">
        <f>"스틱검사상 경미한 색깔변화를 보이나 대개는 병적이상이 아니니 근무에 지장없습니다."</f>
        <v>스틱검사상 경미한 색깔변화를 보이나 대개는 병적이상이 아니니 근무에 지장없습니다.</v>
      </c>
      <c r="E133" s="1" t="str">
        <f t="shared" si="40"/>
        <v>WOK01</v>
      </c>
      <c r="F133" s="1" t="str">
        <f t="shared" si="44"/>
        <v>PTM00</v>
      </c>
      <c r="G133" s="1" t="str">
        <f>"DISN"</f>
        <v>DISN</v>
      </c>
      <c r="H133" s="1" t="str">
        <f>"REL09"</f>
        <v>REL09</v>
      </c>
      <c r="I133" s="1" t="str">
        <f>""</f>
        <v/>
      </c>
      <c r="J133" s="1" t="str">
        <f>"C44A"</f>
        <v>C44A</v>
      </c>
      <c r="K133" s="1" t="str">
        <f>"C44A"</f>
        <v>C44A</v>
      </c>
      <c r="L133" s="1" t="str">
        <f t="shared" si="43"/>
        <v>R</v>
      </c>
      <c r="M133" s="1" t="str">
        <f>"T05"</f>
        <v>T05</v>
      </c>
      <c r="N133" s="1" t="str">
        <f t="shared" si="39"/>
        <v>Y</v>
      </c>
      <c r="O133" s="1" t="str">
        <f t="shared" si="39"/>
        <v>Y</v>
      </c>
      <c r="P133" s="1" t="str">
        <f t="shared" si="39"/>
        <v>Y</v>
      </c>
      <c r="Q133" s="1" t="str">
        <f t="shared" si="38"/>
        <v>A</v>
      </c>
    </row>
    <row r="134" spans="1:17" x14ac:dyDescent="0.3">
      <c r="A134" s="1" t="str">
        <f t="shared" si="42"/>
        <v>A</v>
      </c>
      <c r="B134" s="1" t="str">
        <f>"HWF101"</f>
        <v>HWF101</v>
      </c>
      <c r="C134" s="1" t="str">
        <f>"매독음성(직무관련)"</f>
        <v>매독음성(직무관련)</v>
      </c>
      <c r="D134" s="1" t="str">
        <f>"혈청반응검사 결과 음성입니다."</f>
        <v>혈청반응검사 결과 음성입니다.</v>
      </c>
      <c r="E134" s="1" t="str">
        <f t="shared" si="40"/>
        <v>WOK01</v>
      </c>
      <c r="F134" s="1" t="str">
        <f t="shared" si="44"/>
        <v>PTM00</v>
      </c>
      <c r="G134" s="1" t="str">
        <f>""</f>
        <v/>
      </c>
      <c r="H134" s="1" t="str">
        <f>""</f>
        <v/>
      </c>
      <c r="I134" s="1" t="str">
        <f>"HWFIRE13"</f>
        <v>HWFIRE13</v>
      </c>
      <c r="J134" s="1" t="str">
        <f>"C00A"</f>
        <v>C00A</v>
      </c>
      <c r="K134" s="1" t="str">
        <f>"C00A"</f>
        <v>C00A</v>
      </c>
      <c r="L134" s="1" t="str">
        <f t="shared" si="43"/>
        <v>R</v>
      </c>
      <c r="M134" s="1" t="str">
        <f>"T19"</f>
        <v>T19</v>
      </c>
      <c r="N134" s="1" t="str">
        <f t="shared" si="39"/>
        <v>Y</v>
      </c>
      <c r="O134" s="1" t="str">
        <f t="shared" si="39"/>
        <v>Y</v>
      </c>
      <c r="P134" s="1" t="str">
        <f t="shared" si="39"/>
        <v>Y</v>
      </c>
      <c r="Q134" s="1" t="str">
        <f t="shared" si="38"/>
        <v>A</v>
      </c>
    </row>
    <row r="135" spans="1:17" x14ac:dyDescent="0.3">
      <c r="A135" s="1" t="str">
        <f t="shared" si="42"/>
        <v>A</v>
      </c>
      <c r="B135" s="1" t="str">
        <f>"IL01AAA111"</f>
        <v>IL01AAA111</v>
      </c>
      <c r="C135" s="1" t="str">
        <f>"정상"</f>
        <v>정상</v>
      </c>
      <c r="D135" s="1" t="str">
        <f>"검사를 실시한 항목에 대해서는 특이 소견이 없습니다. 다음 번 주기에 맞추어 검진을 받으시기 바랍니다."</f>
        <v>검사를 실시한 항목에 대해서는 특이 소견이 없습니다. 다음 번 주기에 맞추어 검진을 받으시기 바랍니다.</v>
      </c>
      <c r="E135" s="1" t="str">
        <f t="shared" si="40"/>
        <v>WOK01</v>
      </c>
      <c r="F135" s="1" t="str">
        <f t="shared" si="44"/>
        <v>PTM00</v>
      </c>
      <c r="G135" s="1" t="str">
        <f>""</f>
        <v/>
      </c>
      <c r="H135" s="1" t="str">
        <f>""</f>
        <v/>
      </c>
      <c r="I135" s="1" t="str">
        <f>""</f>
        <v/>
      </c>
      <c r="J135" s="1" t="str">
        <f>"S01A"</f>
        <v>S01A</v>
      </c>
      <c r="K135" s="1" t="str">
        <f>"S01A"</f>
        <v>S01A</v>
      </c>
      <c r="L135" s="1" t="str">
        <f t="shared" si="43"/>
        <v>R</v>
      </c>
      <c r="M135" s="1" t="str">
        <f>""</f>
        <v/>
      </c>
      <c r="N135" s="1" t="str">
        <f t="shared" si="39"/>
        <v>Y</v>
      </c>
      <c r="O135" s="1" t="str">
        <f t="shared" si="39"/>
        <v>Y</v>
      </c>
      <c r="P135" s="1" t="str">
        <f t="shared" si="39"/>
        <v>Y</v>
      </c>
      <c r="Q135" s="1" t="str">
        <f t="shared" si="38"/>
        <v>A</v>
      </c>
    </row>
    <row r="136" spans="1:17" x14ac:dyDescent="0.3">
      <c r="A136" s="1" t="str">
        <f t="shared" si="42"/>
        <v>A</v>
      </c>
      <c r="B136" s="1" t="str">
        <f>"IL01DMD204"</f>
        <v>IL01DMD204</v>
      </c>
      <c r="C136" s="1" t="str">
        <f>"2차검사상 혈당정상"</f>
        <v>2차검사상 혈당정상</v>
      </c>
      <c r="D136" s="1" t="str">
        <f>"2차검사에서 혈당은 정상입니다."</f>
        <v>2차검사에서 혈당은 정상입니다.</v>
      </c>
      <c r="E136" s="1" t="str">
        <f t="shared" si="40"/>
        <v>WOK01</v>
      </c>
      <c r="F136" s="1" t="str">
        <f t="shared" si="44"/>
        <v>PTM00</v>
      </c>
      <c r="G136" s="1" t="str">
        <f>"DISE"</f>
        <v>DISE</v>
      </c>
      <c r="H136" s="1" t="str">
        <f>"REL07"</f>
        <v>REL07</v>
      </c>
      <c r="I136" s="1" t="str">
        <f>""</f>
        <v/>
      </c>
      <c r="J136" s="1" t="str">
        <f>"C06A"</f>
        <v>C06A</v>
      </c>
      <c r="K136" s="1" t="str">
        <f>"C06A"</f>
        <v>C06A</v>
      </c>
      <c r="L136" s="1" t="str">
        <f t="shared" si="43"/>
        <v>R</v>
      </c>
      <c r="M136" s="1" t="str">
        <f>"T03"</f>
        <v>T03</v>
      </c>
      <c r="N136" s="1" t="str">
        <f t="shared" si="39"/>
        <v>Y</v>
      </c>
      <c r="O136" s="1" t="str">
        <f t="shared" si="39"/>
        <v>Y</v>
      </c>
      <c r="P136" s="1" t="str">
        <f t="shared" si="39"/>
        <v>Y</v>
      </c>
      <c r="Q136" s="1" t="str">
        <f t="shared" si="38"/>
        <v>A</v>
      </c>
    </row>
    <row r="137" spans="1:17" x14ac:dyDescent="0.3">
      <c r="A137" s="1" t="str">
        <f t="shared" si="42"/>
        <v>A</v>
      </c>
      <c r="B137" s="1" t="str">
        <f>"IL01HPT202"</f>
        <v>IL01HPT202</v>
      </c>
      <c r="C137" s="1" t="str">
        <f>"(2차 검사상)혈압 정상"</f>
        <v>(2차 검사상)혈압 정상</v>
      </c>
      <c r="D137" s="1" t="str">
        <f>"2차 검사에서 혈압은 정상입니다. 그러나 고혈압이 나타날 수 있으니 주기적으로 혈압을 체크해 보세요."</f>
        <v>2차 검사에서 혈압은 정상입니다. 그러나 고혈압이 나타날 수 있으니 주기적으로 혈압을 체크해 보세요.</v>
      </c>
      <c r="E137" s="1" t="str">
        <f t="shared" si="40"/>
        <v>WOK01</v>
      </c>
      <c r="F137" s="1" t="str">
        <f t="shared" si="44"/>
        <v>PTM00</v>
      </c>
      <c r="G137" s="1" t="str">
        <f>"DIS600"</f>
        <v>DIS600</v>
      </c>
      <c r="H137" s="1" t="str">
        <f>"REL03"</f>
        <v>REL03</v>
      </c>
      <c r="I137" s="1" t="str">
        <f>""</f>
        <v/>
      </c>
      <c r="J137" s="1" t="str">
        <f>"N01A"</f>
        <v>N01A</v>
      </c>
      <c r="K137" s="1" t="str">
        <f>"N01A"</f>
        <v>N01A</v>
      </c>
      <c r="L137" s="1" t="str">
        <f t="shared" si="43"/>
        <v>R</v>
      </c>
      <c r="M137" s="1" t="str">
        <f>"T031"</f>
        <v>T031</v>
      </c>
      <c r="N137" s="1" t="str">
        <f t="shared" si="39"/>
        <v>Y</v>
      </c>
      <c r="O137" s="1" t="str">
        <f t="shared" si="39"/>
        <v>Y</v>
      </c>
      <c r="P137" s="1" t="str">
        <f t="shared" si="39"/>
        <v>Y</v>
      </c>
      <c r="Q137" s="1" t="str">
        <f t="shared" si="38"/>
        <v>A</v>
      </c>
    </row>
    <row r="138" spans="1:17" x14ac:dyDescent="0.3">
      <c r="A138" s="1" t="str">
        <f t="shared" si="42"/>
        <v>A</v>
      </c>
      <c r="B138" s="1" t="str">
        <f>"J0025"</f>
        <v>J0025</v>
      </c>
      <c r="C138" s="1" t="str">
        <f>"흉부방사선상 우동맥궁 관찰"</f>
        <v>흉부방사선상 우동맥궁 관찰</v>
      </c>
      <c r="D138" s="1" t="str">
        <f>"선천성 맥관기형으로 일반 업무 가능합니다."</f>
        <v>선천성 맥관기형으로 일반 업무 가능합니다.</v>
      </c>
      <c r="E138" s="1" t="str">
        <f t="shared" si="40"/>
        <v>WOK01</v>
      </c>
      <c r="F138" s="1" t="str">
        <f>"PTM03"</f>
        <v>PTM03</v>
      </c>
      <c r="G138" s="1" t="str">
        <f>"DISI"</f>
        <v>DISI</v>
      </c>
      <c r="H138" s="1" t="str">
        <f>"REL06"</f>
        <v>REL06</v>
      </c>
      <c r="I138" s="1" t="str">
        <f>""</f>
        <v/>
      </c>
      <c r="J138" s="1" t="str">
        <f>"C00A"</f>
        <v>C00A</v>
      </c>
      <c r="K138" s="1" t="str">
        <f>"C00A"</f>
        <v>C00A</v>
      </c>
      <c r="L138" s="1" t="str">
        <f t="shared" si="43"/>
        <v>R</v>
      </c>
      <c r="M138" s="1" t="str">
        <f>"T03"</f>
        <v>T03</v>
      </c>
      <c r="N138" s="1" t="str">
        <f t="shared" ref="N138:N169" si="45">"Y"</f>
        <v>Y</v>
      </c>
      <c r="O138" s="1" t="str">
        <f>"N"</f>
        <v>N</v>
      </c>
      <c r="P138" s="1" t="str">
        <f t="shared" ref="P138:P201" si="46">"Y"</f>
        <v>Y</v>
      </c>
      <c r="Q138" s="1" t="str">
        <f t="shared" si="38"/>
        <v>A</v>
      </c>
    </row>
    <row r="139" spans="1:17" x14ac:dyDescent="0.3">
      <c r="A139" s="1" t="str">
        <f t="shared" si="42"/>
        <v>A</v>
      </c>
      <c r="B139" s="1" t="str">
        <f>"J0026"</f>
        <v>J0026</v>
      </c>
      <c r="C139" s="1" t="str">
        <f>"척추측만증"</f>
        <v>척추측만증</v>
      </c>
      <c r="D139" s="1" t="s">
        <v>28</v>
      </c>
      <c r="E139" s="1" t="str">
        <f t="shared" si="40"/>
        <v>WOK01</v>
      </c>
      <c r="F139" s="1" t="str">
        <f>"PTM01"</f>
        <v>PTM01</v>
      </c>
      <c r="G139" s="1" t="str">
        <f>"DISM"</f>
        <v>DISM</v>
      </c>
      <c r="H139" s="1" t="str">
        <f>"REL22"</f>
        <v>REL22</v>
      </c>
      <c r="I139" s="1" t="str">
        <f>""</f>
        <v/>
      </c>
      <c r="J139" s="1" t="str">
        <f>""</f>
        <v/>
      </c>
      <c r="K139" s="1" t="str">
        <f>""</f>
        <v/>
      </c>
      <c r="L139" s="1" t="str">
        <f t="shared" si="43"/>
        <v>R</v>
      </c>
      <c r="M139" s="1" t="str">
        <f>"T19"</f>
        <v>T19</v>
      </c>
      <c r="N139" s="1" t="str">
        <f t="shared" si="45"/>
        <v>Y</v>
      </c>
      <c r="O139" s="1" t="str">
        <f>"Y"</f>
        <v>Y</v>
      </c>
      <c r="P139" s="1" t="str">
        <f t="shared" si="46"/>
        <v>Y</v>
      </c>
      <c r="Q139" s="1" t="str">
        <f t="shared" si="38"/>
        <v>A</v>
      </c>
    </row>
    <row r="140" spans="1:17" x14ac:dyDescent="0.3">
      <c r="A140" s="1" t="str">
        <f t="shared" si="42"/>
        <v>A</v>
      </c>
      <c r="B140" s="1" t="str">
        <f>"J0027"</f>
        <v>J0027</v>
      </c>
      <c r="C140" s="1" t="str">
        <f>"혈당 정상"</f>
        <v>혈당 정상</v>
      </c>
      <c r="D140" s="1" t="str">
        <f>"당뇨 검사상 정상입니다."</f>
        <v>당뇨 검사상 정상입니다.</v>
      </c>
      <c r="E140" s="1" t="str">
        <f>""</f>
        <v/>
      </c>
      <c r="F140" s="1" t="str">
        <f>"PTM00"</f>
        <v>PTM00</v>
      </c>
      <c r="G140" s="1" t="str">
        <f>"DISE"</f>
        <v>DISE</v>
      </c>
      <c r="H140" s="1" t="str">
        <f>"REL07"</f>
        <v>REL07</v>
      </c>
      <c r="I140" s="1" t="str">
        <f>""</f>
        <v/>
      </c>
      <c r="J140" s="1" t="str">
        <f>"C06A"</f>
        <v>C06A</v>
      </c>
      <c r="K140" s="1" t="str">
        <f>"C06A"</f>
        <v>C06A</v>
      </c>
      <c r="L140" s="1" t="str">
        <f t="shared" si="43"/>
        <v>R</v>
      </c>
      <c r="M140" s="1" t="str">
        <f>"T03"</f>
        <v>T03</v>
      </c>
      <c r="N140" s="1" t="str">
        <f t="shared" si="45"/>
        <v>Y</v>
      </c>
      <c r="O140" s="1" t="str">
        <f>"Y"</f>
        <v>Y</v>
      </c>
      <c r="P140" s="1" t="str">
        <f t="shared" si="46"/>
        <v>Y</v>
      </c>
      <c r="Q140" s="1" t="str">
        <f t="shared" si="38"/>
        <v>A</v>
      </c>
    </row>
    <row r="141" spans="1:17" x14ac:dyDescent="0.3">
      <c r="A141" s="1" t="str">
        <f t="shared" si="42"/>
        <v>A</v>
      </c>
      <c r="B141" s="1" t="str">
        <f>"J0063"</f>
        <v>J0063</v>
      </c>
      <c r="C141" s="1" t="str">
        <f>"청력정상"</f>
        <v>청력정상</v>
      </c>
      <c r="D141" s="1" t="str">
        <f>"2차 검사상 청력 손실 없으나 소음 작업시 보호구착용 철저히 하세요"</f>
        <v>2차 검사상 청력 손실 없으나 소음 작업시 보호구착용 철저히 하세요</v>
      </c>
      <c r="E141" s="1" t="str">
        <f t="shared" ref="E141:E156" si="47">"WOK01"</f>
        <v>WOK01</v>
      </c>
      <c r="F141" s="1" t="str">
        <f>"PTM00"</f>
        <v>PTM00</v>
      </c>
      <c r="G141" s="1" t="str">
        <f>"DISH"</f>
        <v>DISH</v>
      </c>
      <c r="H141" s="1" t="str">
        <f>"REL19"</f>
        <v>REL19</v>
      </c>
      <c r="I141" s="1" t="str">
        <f>""</f>
        <v/>
      </c>
      <c r="J141" s="1" t="str">
        <f t="shared" ref="J141:K143" si="48">"C38A"</f>
        <v>C38A</v>
      </c>
      <c r="K141" s="1" t="str">
        <f t="shared" si="48"/>
        <v>C38A</v>
      </c>
      <c r="L141" s="1" t="str">
        <f t="shared" si="43"/>
        <v>R</v>
      </c>
      <c r="M141" s="1" t="str">
        <f>""</f>
        <v/>
      </c>
      <c r="N141" s="1" t="str">
        <f t="shared" si="45"/>
        <v>Y</v>
      </c>
      <c r="O141" s="1" t="str">
        <f>"Y"</f>
        <v>Y</v>
      </c>
      <c r="P141" s="1" t="str">
        <f t="shared" si="46"/>
        <v>Y</v>
      </c>
      <c r="Q141" s="1" t="str">
        <f t="shared" si="38"/>
        <v>A</v>
      </c>
    </row>
    <row r="142" spans="1:17" x14ac:dyDescent="0.3">
      <c r="A142" s="1" t="str">
        <f t="shared" si="42"/>
        <v>A</v>
      </c>
      <c r="B142" s="1" t="str">
        <f>"J0067"</f>
        <v>J0067</v>
      </c>
      <c r="C142" s="1" t="str">
        <f>"(좌측)청력정상"</f>
        <v>(좌측)청력정상</v>
      </c>
      <c r="D142" s="1" t="str">
        <f>"2차 청력검사상 정상소견"</f>
        <v>2차 청력검사상 정상소견</v>
      </c>
      <c r="E142" s="1" t="str">
        <f t="shared" si="47"/>
        <v>WOK01</v>
      </c>
      <c r="F142" s="1" t="str">
        <f>"PTM00"</f>
        <v>PTM00</v>
      </c>
      <c r="G142" s="1" t="str">
        <f>"DISH"</f>
        <v>DISH</v>
      </c>
      <c r="H142" s="1" t="str">
        <f>"REL19"</f>
        <v>REL19</v>
      </c>
      <c r="I142" s="1" t="str">
        <f>"01"</f>
        <v>01</v>
      </c>
      <c r="J142" s="1" t="str">
        <f t="shared" si="48"/>
        <v>C38A</v>
      </c>
      <c r="K142" s="1" t="str">
        <f t="shared" si="48"/>
        <v>C38A</v>
      </c>
      <c r="L142" s="1" t="str">
        <f t="shared" si="43"/>
        <v>R</v>
      </c>
      <c r="M142" s="1" t="str">
        <f>"T10"</f>
        <v>T10</v>
      </c>
      <c r="N142" s="1" t="str">
        <f t="shared" si="45"/>
        <v>Y</v>
      </c>
      <c r="O142" s="1" t="str">
        <f>"Y"</f>
        <v>Y</v>
      </c>
      <c r="P142" s="1" t="str">
        <f t="shared" si="46"/>
        <v>Y</v>
      </c>
      <c r="Q142" s="1" t="str">
        <f>"L"</f>
        <v>L</v>
      </c>
    </row>
    <row r="143" spans="1:17" x14ac:dyDescent="0.3">
      <c r="A143" s="1" t="str">
        <f t="shared" si="42"/>
        <v>A</v>
      </c>
      <c r="B143" s="1" t="str">
        <f>"J0068"</f>
        <v>J0068</v>
      </c>
      <c r="C143" s="1" t="str">
        <f>"(우측)청력정상"</f>
        <v>(우측)청력정상</v>
      </c>
      <c r="D143" s="1" t="str">
        <f>"2차 청력검사상 정상소견"</f>
        <v>2차 청력검사상 정상소견</v>
      </c>
      <c r="E143" s="1" t="str">
        <f t="shared" si="47"/>
        <v>WOK01</v>
      </c>
      <c r="F143" s="1" t="str">
        <f>"PTM00"</f>
        <v>PTM00</v>
      </c>
      <c r="G143" s="1" t="str">
        <f>"DIS110"</f>
        <v>DIS110</v>
      </c>
      <c r="H143" s="1" t="str">
        <f>"REL19"</f>
        <v>REL19</v>
      </c>
      <c r="I143" s="1" t="str">
        <f>"01"</f>
        <v>01</v>
      </c>
      <c r="J143" s="1" t="str">
        <f t="shared" si="48"/>
        <v>C38A</v>
      </c>
      <c r="K143" s="1" t="str">
        <f t="shared" si="48"/>
        <v>C38A</v>
      </c>
      <c r="L143" s="1" t="str">
        <f t="shared" si="43"/>
        <v>R</v>
      </c>
      <c r="M143" s="1" t="str">
        <f>"T10"</f>
        <v>T10</v>
      </c>
      <c r="N143" s="1" t="str">
        <f t="shared" si="45"/>
        <v>Y</v>
      </c>
      <c r="O143" s="1" t="str">
        <f>"Y"</f>
        <v>Y</v>
      </c>
      <c r="P143" s="1" t="str">
        <f t="shared" si="46"/>
        <v>Y</v>
      </c>
      <c r="Q143" s="1" t="str">
        <f>"R"</f>
        <v>R</v>
      </c>
    </row>
    <row r="144" spans="1:17" x14ac:dyDescent="0.3">
      <c r="A144" s="1" t="str">
        <f t="shared" si="42"/>
        <v>A</v>
      </c>
      <c r="B144" s="1" t="str">
        <f>"J0069"</f>
        <v>J0069</v>
      </c>
      <c r="C144" s="1" t="str">
        <f>"(혈압)정상"</f>
        <v>(혈압)정상</v>
      </c>
      <c r="D144" s="1" t="str">
        <f>"2차 검사상 특이소견 없습니다"</f>
        <v>2차 검사상 특이소견 없습니다</v>
      </c>
      <c r="E144" s="1" t="str">
        <f t="shared" si="47"/>
        <v>WOK01</v>
      </c>
      <c r="F144" s="1" t="str">
        <f>""</f>
        <v/>
      </c>
      <c r="G144" s="1" t="str">
        <f>""</f>
        <v/>
      </c>
      <c r="H144" s="1" t="str">
        <f>""</f>
        <v/>
      </c>
      <c r="I144" s="1" t="str">
        <f>""</f>
        <v/>
      </c>
      <c r="J144" s="1" t="str">
        <f>"S01A"</f>
        <v>S01A</v>
      </c>
      <c r="K144" s="1" t="str">
        <f>"S01A"</f>
        <v>S01A</v>
      </c>
      <c r="L144" s="1" t="str">
        <f t="shared" si="43"/>
        <v>R</v>
      </c>
      <c r="M144" s="1" t="str">
        <f>"T03"</f>
        <v>T03</v>
      </c>
      <c r="N144" s="1" t="str">
        <f t="shared" si="45"/>
        <v>Y</v>
      </c>
      <c r="O144" s="1" t="str">
        <f>"N"</f>
        <v>N</v>
      </c>
      <c r="P144" s="1" t="str">
        <f t="shared" si="46"/>
        <v>Y</v>
      </c>
      <c r="Q144" s="1" t="str">
        <f t="shared" ref="Q144:Q152" si="49">"A"</f>
        <v>A</v>
      </c>
    </row>
    <row r="145" spans="1:17" x14ac:dyDescent="0.3">
      <c r="A145" s="1" t="str">
        <f t="shared" si="42"/>
        <v>A</v>
      </c>
      <c r="B145" s="1" t="str">
        <f>"J0073"</f>
        <v>J0073</v>
      </c>
      <c r="C145" s="1" t="str">
        <f>"정상(폐기능검사)"</f>
        <v>정상(폐기능검사)</v>
      </c>
      <c r="D145" s="1" t="str">
        <f>"폐기능 검사상 특이소견 없습니다."</f>
        <v>폐기능 검사상 특이소견 없습니다.</v>
      </c>
      <c r="E145" s="1" t="str">
        <f t="shared" si="47"/>
        <v>WOK01</v>
      </c>
      <c r="F145" s="1" t="str">
        <f>"PTM00"</f>
        <v>PTM00</v>
      </c>
      <c r="G145" s="1" t="str">
        <f>"DISJ"</f>
        <v>DISJ</v>
      </c>
      <c r="H145" s="1" t="str">
        <f>"REL02"</f>
        <v>REL02</v>
      </c>
      <c r="I145" s="1" t="str">
        <f>""</f>
        <v/>
      </c>
      <c r="J145" s="1" t="str">
        <f>"C40A"</f>
        <v>C40A</v>
      </c>
      <c r="K145" s="1" t="str">
        <f>"C40A"</f>
        <v>C40A</v>
      </c>
      <c r="L145" s="1" t="str">
        <f t="shared" si="43"/>
        <v>R</v>
      </c>
      <c r="M145" s="1" t="str">
        <f>"T04"</f>
        <v>T04</v>
      </c>
      <c r="N145" s="1" t="str">
        <f t="shared" si="45"/>
        <v>Y</v>
      </c>
      <c r="O145" s="1" t="str">
        <f>"N"</f>
        <v>N</v>
      </c>
      <c r="P145" s="1" t="str">
        <f t="shared" si="46"/>
        <v>Y</v>
      </c>
      <c r="Q145" s="1" t="str">
        <f t="shared" si="49"/>
        <v>A</v>
      </c>
    </row>
    <row r="146" spans="1:17" x14ac:dyDescent="0.3">
      <c r="A146" s="1" t="str">
        <f t="shared" si="42"/>
        <v>A</v>
      </c>
      <c r="B146" s="1" t="str">
        <f>"J0073X"</f>
        <v>J0073X</v>
      </c>
      <c r="C146" s="1" t="str">
        <f>"정상 (호흡기계 2차)"</f>
        <v>정상 (호흡기계 2차)</v>
      </c>
      <c r="D146" s="1" t="str">
        <f>"호흡기계 2차 검사상 특이소견 없습니다. 건강관리에 유의하시기 바랍니다."</f>
        <v>호흡기계 2차 검사상 특이소견 없습니다. 건강관리에 유의하시기 바랍니다.</v>
      </c>
      <c r="E146" s="1" t="str">
        <f t="shared" si="47"/>
        <v>WOK01</v>
      </c>
      <c r="F146" s="1" t="str">
        <f>"PTM03"</f>
        <v>PTM03</v>
      </c>
      <c r="G146" s="1" t="str">
        <f>"DISJ"</f>
        <v>DISJ</v>
      </c>
      <c r="H146" s="1" t="str">
        <f>"REL02"</f>
        <v>REL02</v>
      </c>
      <c r="I146" s="1" t="str">
        <f>""</f>
        <v/>
      </c>
      <c r="J146" s="1" t="str">
        <f>"C40A"</f>
        <v>C40A</v>
      </c>
      <c r="K146" s="1" t="str">
        <f>"C40A"</f>
        <v>C40A</v>
      </c>
      <c r="L146" s="1" t="str">
        <f t="shared" si="43"/>
        <v>R</v>
      </c>
      <c r="M146" s="1" t="str">
        <f>"T04"</f>
        <v>T04</v>
      </c>
      <c r="N146" s="1" t="str">
        <f t="shared" si="45"/>
        <v>Y</v>
      </c>
      <c r="O146" s="1" t="str">
        <f>"N"</f>
        <v>N</v>
      </c>
      <c r="P146" s="1" t="str">
        <f t="shared" si="46"/>
        <v>Y</v>
      </c>
      <c r="Q146" s="1" t="str">
        <f t="shared" si="49"/>
        <v>A</v>
      </c>
    </row>
    <row r="147" spans="1:17" x14ac:dyDescent="0.3">
      <c r="A147" s="1" t="str">
        <f t="shared" si="42"/>
        <v>A</v>
      </c>
      <c r="B147" s="1" t="str">
        <f>"J0081"</f>
        <v>J0081</v>
      </c>
      <c r="C147" s="1" t="str">
        <f>"(요검사)정상"</f>
        <v>(요검사)정상</v>
      </c>
      <c r="D147" s="1" t="str">
        <f>"2차검사상 특이소견 없습니다"</f>
        <v>2차검사상 특이소견 없습니다</v>
      </c>
      <c r="E147" s="1" t="str">
        <f t="shared" si="47"/>
        <v>WOK01</v>
      </c>
      <c r="F147" s="1" t="str">
        <f>"PTM00"</f>
        <v>PTM00</v>
      </c>
      <c r="G147" s="1" t="str">
        <f>"DISN"</f>
        <v>DISN</v>
      </c>
      <c r="H147" s="1" t="str">
        <f>"REL08"</f>
        <v>REL08</v>
      </c>
      <c r="I147" s="1" t="str">
        <f>""</f>
        <v/>
      </c>
      <c r="J147" s="1" t="str">
        <f>"C44A"</f>
        <v>C44A</v>
      </c>
      <c r="K147" s="1" t="str">
        <f>"C44A"</f>
        <v>C44A</v>
      </c>
      <c r="L147" s="1" t="str">
        <f t="shared" si="43"/>
        <v>R</v>
      </c>
      <c r="M147" s="1" t="str">
        <f>"T05"</f>
        <v>T05</v>
      </c>
      <c r="N147" s="1" t="str">
        <f t="shared" si="45"/>
        <v>Y</v>
      </c>
      <c r="O147" s="1" t="str">
        <f t="shared" ref="O147:O164" si="50">"Y"</f>
        <v>Y</v>
      </c>
      <c r="P147" s="1" t="str">
        <f t="shared" si="46"/>
        <v>Y</v>
      </c>
      <c r="Q147" s="1" t="str">
        <f t="shared" si="49"/>
        <v>A</v>
      </c>
    </row>
    <row r="148" spans="1:17" x14ac:dyDescent="0.3">
      <c r="A148" s="1" t="str">
        <f t="shared" si="42"/>
        <v>A</v>
      </c>
      <c r="B148" s="1" t="str">
        <f>"J0084"</f>
        <v>J0084</v>
      </c>
      <c r="C148" s="1" t="str">
        <f>"(객담세포검사)음성"</f>
        <v>(객담세포검사)음성</v>
      </c>
      <c r="D148" s="1" t="str">
        <f>"검사결과상 특이소견 없습니다."</f>
        <v>검사결과상 특이소견 없습니다.</v>
      </c>
      <c r="E148" s="1" t="str">
        <f t="shared" si="47"/>
        <v>WOK01</v>
      </c>
      <c r="F148" s="1" t="str">
        <f>"PTM00"</f>
        <v>PTM00</v>
      </c>
      <c r="G148" s="1" t="str">
        <f>"DISJ"</f>
        <v>DISJ</v>
      </c>
      <c r="H148" s="1" t="str">
        <f>"REL02"</f>
        <v>REL02</v>
      </c>
      <c r="I148" s="1" t="str">
        <f>""</f>
        <v/>
      </c>
      <c r="J148" s="1" t="str">
        <f>"S01A"</f>
        <v>S01A</v>
      </c>
      <c r="K148" s="1" t="str">
        <f>"S01A"</f>
        <v>S01A</v>
      </c>
      <c r="L148" s="1" t="str">
        <f t="shared" si="43"/>
        <v>R</v>
      </c>
      <c r="M148" s="1" t="str">
        <f>"T04"</f>
        <v>T04</v>
      </c>
      <c r="N148" s="1" t="str">
        <f t="shared" si="45"/>
        <v>Y</v>
      </c>
      <c r="O148" s="1" t="str">
        <f t="shared" si="50"/>
        <v>Y</v>
      </c>
      <c r="P148" s="1" t="str">
        <f t="shared" si="46"/>
        <v>Y</v>
      </c>
      <c r="Q148" s="1" t="str">
        <f t="shared" si="49"/>
        <v>A</v>
      </c>
    </row>
    <row r="149" spans="1:17" x14ac:dyDescent="0.3">
      <c r="A149" s="1" t="str">
        <f t="shared" si="42"/>
        <v>A</v>
      </c>
      <c r="B149" s="1" t="str">
        <f>"J0085A"</f>
        <v>J0085A</v>
      </c>
      <c r="C149" s="1" t="str">
        <f>"(객담세포검사)검체부족"</f>
        <v>(객담세포검사)검체부족</v>
      </c>
      <c r="D149" s="1" t="s">
        <v>29</v>
      </c>
      <c r="E149" s="1" t="str">
        <f t="shared" si="47"/>
        <v>WOK01</v>
      </c>
      <c r="F149" s="1" t="str">
        <f>""</f>
        <v/>
      </c>
      <c r="G149" s="1" t="str">
        <f>"DISJ"</f>
        <v>DISJ</v>
      </c>
      <c r="H149" s="1" t="str">
        <f>"REL02"</f>
        <v>REL02</v>
      </c>
      <c r="I149" s="1" t="str">
        <f>""</f>
        <v/>
      </c>
      <c r="J149" s="1" t="str">
        <f>"C40A"</f>
        <v>C40A</v>
      </c>
      <c r="K149" s="1" t="str">
        <f>"C00A"</f>
        <v>C00A</v>
      </c>
      <c r="L149" s="1" t="str">
        <f t="shared" si="43"/>
        <v>R</v>
      </c>
      <c r="M149" s="1" t="str">
        <f>"T04"</f>
        <v>T04</v>
      </c>
      <c r="N149" s="1" t="str">
        <f t="shared" si="45"/>
        <v>Y</v>
      </c>
      <c r="O149" s="1" t="str">
        <f t="shared" si="50"/>
        <v>Y</v>
      </c>
      <c r="P149" s="1" t="str">
        <f t="shared" si="46"/>
        <v>Y</v>
      </c>
      <c r="Q149" s="1" t="str">
        <f t="shared" si="49"/>
        <v>A</v>
      </c>
    </row>
    <row r="150" spans="1:17" x14ac:dyDescent="0.3">
      <c r="A150" s="1" t="str">
        <f t="shared" si="42"/>
        <v>A</v>
      </c>
      <c r="B150" s="1" t="str">
        <f>"J0127"</f>
        <v>J0127</v>
      </c>
      <c r="C150" s="1" t="str">
        <f>"비활동성폐결핵"</f>
        <v>비활동성폐결핵</v>
      </c>
      <c r="D150" s="1" t="str">
        <f>"흉부방사선 검사상 결핵 등 과거 염증 흔적으로 정상소견입니다."</f>
        <v>흉부방사선 검사상 결핵 등 과거 염증 흔적으로 정상소견입니다.</v>
      </c>
      <c r="E150" s="1" t="str">
        <f t="shared" si="47"/>
        <v>WOK01</v>
      </c>
      <c r="F150" s="1" t="str">
        <f t="shared" ref="F150:F156" si="51">"PTM00"</f>
        <v>PTM00</v>
      </c>
      <c r="G150" s="1" t="str">
        <f>"DISJ"</f>
        <v>DISJ</v>
      </c>
      <c r="H150" s="1" t="str">
        <f>"REL01"</f>
        <v>REL01</v>
      </c>
      <c r="I150" s="1" t="str">
        <f>""</f>
        <v/>
      </c>
      <c r="J150" s="1" t="str">
        <f>"C01A"</f>
        <v>C01A</v>
      </c>
      <c r="K150" s="1" t="str">
        <f>"C01A"</f>
        <v>C01A</v>
      </c>
      <c r="L150" s="1" t="str">
        <f t="shared" si="43"/>
        <v>R</v>
      </c>
      <c r="M150" s="1" t="str">
        <f>"T04"</f>
        <v>T04</v>
      </c>
      <c r="N150" s="1" t="str">
        <f t="shared" si="45"/>
        <v>Y</v>
      </c>
      <c r="O150" s="1" t="str">
        <f t="shared" si="50"/>
        <v>Y</v>
      </c>
      <c r="P150" s="1" t="str">
        <f t="shared" si="46"/>
        <v>Y</v>
      </c>
      <c r="Q150" s="1" t="str">
        <f t="shared" si="49"/>
        <v>A</v>
      </c>
    </row>
    <row r="151" spans="1:17" x14ac:dyDescent="0.3">
      <c r="A151" s="1" t="str">
        <f t="shared" si="42"/>
        <v>A</v>
      </c>
      <c r="B151" s="1" t="str">
        <f>"J0153"</f>
        <v>J0153</v>
      </c>
      <c r="C151" s="1" t="str">
        <f>"정상(2차 백혈구수치)"</f>
        <v>정상(2차 백혈구수치)</v>
      </c>
      <c r="D151" s="1" t="str">
        <f>"2차 검사상 백혈구수가 정상니다. 염증 등에 의해 일시적으로 증가했을 수 있습니다. 정기적 검사를 하세요."</f>
        <v>2차 검사상 백혈구수가 정상니다. 염증 등에 의해 일시적으로 증가했을 수 있습니다. 정기적 검사를 하세요.</v>
      </c>
      <c r="E151" s="1" t="str">
        <f t="shared" si="47"/>
        <v>WOK01</v>
      </c>
      <c r="F151" s="1" t="str">
        <f t="shared" si="51"/>
        <v>PTM00</v>
      </c>
      <c r="G151" s="1" t="str">
        <f>"DISD"</f>
        <v>DISD</v>
      </c>
      <c r="H151" s="1" t="str">
        <f>"REL12"</f>
        <v>REL12</v>
      </c>
      <c r="I151" s="1" t="str">
        <f>""</f>
        <v/>
      </c>
      <c r="J151" s="1" t="str">
        <f>"C34A"</f>
        <v>C34A</v>
      </c>
      <c r="K151" s="1" t="str">
        <f>"C34A"</f>
        <v>C34A</v>
      </c>
      <c r="L151" s="1" t="str">
        <f t="shared" si="43"/>
        <v>R</v>
      </c>
      <c r="M151" s="1" t="str">
        <f>"T01"</f>
        <v>T01</v>
      </c>
      <c r="N151" s="1" t="str">
        <f t="shared" si="45"/>
        <v>Y</v>
      </c>
      <c r="O151" s="1" t="str">
        <f t="shared" si="50"/>
        <v>Y</v>
      </c>
      <c r="P151" s="1" t="str">
        <f t="shared" si="46"/>
        <v>Y</v>
      </c>
      <c r="Q151" s="1" t="str">
        <f t="shared" si="49"/>
        <v>A</v>
      </c>
    </row>
    <row r="152" spans="1:17" x14ac:dyDescent="0.3">
      <c r="A152" s="1" t="str">
        <f t="shared" si="42"/>
        <v>A</v>
      </c>
      <c r="B152" s="1" t="str">
        <f>"J0168"</f>
        <v>J0168</v>
      </c>
      <c r="C152" s="1" t="str">
        <f>"유기용제 정상"</f>
        <v>유기용제 정상</v>
      </c>
      <c r="D152" s="1" t="str">
        <f>"2차검사상 특이 소견 없습니다. 작업시 보호구 착용 철저히 하시기 바랍니다."</f>
        <v>2차검사상 특이 소견 없습니다. 작업시 보호구 착용 철저히 하시기 바랍니다.</v>
      </c>
      <c r="E152" s="1" t="str">
        <f t="shared" si="47"/>
        <v>WOK01</v>
      </c>
      <c r="F152" s="1" t="str">
        <f t="shared" si="51"/>
        <v>PTM00</v>
      </c>
      <c r="G152" s="1" t="str">
        <f>"DIS299"</f>
        <v>DIS299</v>
      </c>
      <c r="H152" s="1" t="str">
        <f>"REL17"</f>
        <v>REL17</v>
      </c>
      <c r="I152" s="1" t="str">
        <f>""</f>
        <v/>
      </c>
      <c r="J152" s="1" t="str">
        <f>"S01A"</f>
        <v>S01A</v>
      </c>
      <c r="K152" s="1" t="str">
        <f>"S01A"</f>
        <v>S01A</v>
      </c>
      <c r="L152" s="1" t="str">
        <f t="shared" si="43"/>
        <v>R</v>
      </c>
      <c r="M152" s="1" t="str">
        <f>"T02"</f>
        <v>T02</v>
      </c>
      <c r="N152" s="1" t="str">
        <f t="shared" si="45"/>
        <v>Y</v>
      </c>
      <c r="O152" s="1" t="str">
        <f t="shared" si="50"/>
        <v>Y</v>
      </c>
      <c r="P152" s="1" t="str">
        <f t="shared" si="46"/>
        <v>Y</v>
      </c>
      <c r="Q152" s="1" t="str">
        <f t="shared" si="49"/>
        <v>A</v>
      </c>
    </row>
    <row r="153" spans="1:17" x14ac:dyDescent="0.3">
      <c r="A153" s="1" t="str">
        <f t="shared" si="42"/>
        <v>A</v>
      </c>
      <c r="B153" s="1" t="str">
        <f>"J0172"</f>
        <v>J0172</v>
      </c>
      <c r="C153" s="1" t="str">
        <f>"(우측)청력정상"</f>
        <v>(우측)청력정상</v>
      </c>
      <c r="D153" s="1" t="str">
        <f>"2차검사상 청력손실 없으나 소음작업시 귀마개를 철저히 착용하세요."</f>
        <v>2차검사상 청력손실 없으나 소음작업시 귀마개를 철저히 착용하세요.</v>
      </c>
      <c r="E153" s="1" t="str">
        <f t="shared" si="47"/>
        <v>WOK01</v>
      </c>
      <c r="F153" s="1" t="str">
        <f t="shared" si="51"/>
        <v>PTM00</v>
      </c>
      <c r="G153" s="1" t="str">
        <f>"DIS110"</f>
        <v>DIS110</v>
      </c>
      <c r="H153" s="1" t="str">
        <f>"REL19"</f>
        <v>REL19</v>
      </c>
      <c r="I153" s="1" t="str">
        <f>"01"</f>
        <v>01</v>
      </c>
      <c r="J153" s="1" t="str">
        <f>"C38A"</f>
        <v>C38A</v>
      </c>
      <c r="K153" s="1" t="str">
        <f>"C38A"</f>
        <v>C38A</v>
      </c>
      <c r="L153" s="1" t="str">
        <f t="shared" si="43"/>
        <v>R</v>
      </c>
      <c r="M153" s="1" t="str">
        <f>"T10"</f>
        <v>T10</v>
      </c>
      <c r="N153" s="1" t="str">
        <f t="shared" si="45"/>
        <v>Y</v>
      </c>
      <c r="O153" s="1" t="str">
        <f t="shared" si="50"/>
        <v>Y</v>
      </c>
      <c r="P153" s="1" t="str">
        <f t="shared" si="46"/>
        <v>Y</v>
      </c>
      <c r="Q153" s="1" t="str">
        <f>"R"</f>
        <v>R</v>
      </c>
    </row>
    <row r="154" spans="1:17" x14ac:dyDescent="0.3">
      <c r="A154" s="1" t="str">
        <f t="shared" si="42"/>
        <v>A</v>
      </c>
      <c r="B154" s="1" t="str">
        <f>"J0173"</f>
        <v>J0173</v>
      </c>
      <c r="C154" s="1" t="str">
        <f>"(좌측)청력정상"</f>
        <v>(좌측)청력정상</v>
      </c>
      <c r="D154" s="1" t="str">
        <f>"2차 청력검사상 큰 의미에서 정상이나 고음역에서 경이한 청력 저하가 의심 됩니다. 이어폰을 사용한 음악감상을 피하시고 소음 발생 작업시 청력보호구를 착용하세요."</f>
        <v>2차 청력검사상 큰 의미에서 정상이나 고음역에서 경이한 청력 저하가 의심 됩니다. 이어폰을 사용한 음악감상을 피하시고 소음 발생 작업시 청력보호구를 착용하세요.</v>
      </c>
      <c r="E154" s="1" t="str">
        <f t="shared" si="47"/>
        <v>WOK01</v>
      </c>
      <c r="F154" s="1" t="str">
        <f t="shared" si="51"/>
        <v>PTM00</v>
      </c>
      <c r="G154" s="1" t="str">
        <f>"DISH"</f>
        <v>DISH</v>
      </c>
      <c r="H154" s="1" t="str">
        <f>"REL19"</f>
        <v>REL19</v>
      </c>
      <c r="I154" s="1" t="str">
        <f>"01"</f>
        <v>01</v>
      </c>
      <c r="J154" s="1" t="str">
        <f>"C38A"</f>
        <v>C38A</v>
      </c>
      <c r="K154" s="1" t="str">
        <f>"C38A"</f>
        <v>C38A</v>
      </c>
      <c r="L154" s="1" t="str">
        <f t="shared" si="43"/>
        <v>R</v>
      </c>
      <c r="M154" s="1" t="str">
        <f>"T10"</f>
        <v>T10</v>
      </c>
      <c r="N154" s="1" t="str">
        <f t="shared" si="45"/>
        <v>Y</v>
      </c>
      <c r="O154" s="1" t="str">
        <f t="shared" si="50"/>
        <v>Y</v>
      </c>
      <c r="P154" s="1" t="str">
        <f t="shared" si="46"/>
        <v>Y</v>
      </c>
      <c r="Q154" s="1" t="str">
        <f>"L"</f>
        <v>L</v>
      </c>
    </row>
    <row r="155" spans="1:17" x14ac:dyDescent="0.3">
      <c r="A155" s="1" t="str">
        <f t="shared" si="42"/>
        <v>A</v>
      </c>
      <c r="B155" s="1" t="str">
        <f>"J0174"</f>
        <v>J0174</v>
      </c>
      <c r="C155" s="1" t="str">
        <f>"기존 질환"</f>
        <v>기존 질환</v>
      </c>
      <c r="D155" s="1" t="str">
        <f>"선천적인 원인에 의한 청력저하 관찰됩니다. 그외 특이소견 없습니다"</f>
        <v>선천적인 원인에 의한 청력저하 관찰됩니다. 그외 특이소견 없습니다</v>
      </c>
      <c r="E155" s="1" t="str">
        <f t="shared" si="47"/>
        <v>WOK01</v>
      </c>
      <c r="F155" s="1" t="str">
        <f t="shared" si="51"/>
        <v>PTM00</v>
      </c>
      <c r="G155" s="1" t="str">
        <f>"DISH"</f>
        <v>DISH</v>
      </c>
      <c r="H155" s="1" t="str">
        <f>"REL19"</f>
        <v>REL19</v>
      </c>
      <c r="I155" s="1" t="str">
        <f>""</f>
        <v/>
      </c>
      <c r="J155" s="1" t="str">
        <f>"C38D"</f>
        <v>C38D</v>
      </c>
      <c r="K155" s="1" t="str">
        <f>"C38D"</f>
        <v>C38D</v>
      </c>
      <c r="L155" s="1" t="str">
        <f t="shared" si="43"/>
        <v>R</v>
      </c>
      <c r="M155" s="1" t="str">
        <f>""</f>
        <v/>
      </c>
      <c r="N155" s="1" t="str">
        <f t="shared" si="45"/>
        <v>Y</v>
      </c>
      <c r="O155" s="1" t="str">
        <f t="shared" si="50"/>
        <v>Y</v>
      </c>
      <c r="P155" s="1" t="str">
        <f t="shared" si="46"/>
        <v>Y</v>
      </c>
      <c r="Q155" s="1" t="str">
        <f t="shared" ref="Q155:Q174" si="52">"A"</f>
        <v>A</v>
      </c>
    </row>
    <row r="156" spans="1:17" x14ac:dyDescent="0.3">
      <c r="A156" s="1" t="str">
        <f t="shared" si="42"/>
        <v>A</v>
      </c>
      <c r="B156" s="1" t="str">
        <f>"J0181"</f>
        <v>J0181</v>
      </c>
      <c r="C156" s="1" t="str">
        <f>"과거염증흔적"</f>
        <v>과거염증흔적</v>
      </c>
      <c r="D156" s="1" t="str">
        <f>"흉부방사선 검사상 결핵 등 과거 염증 흔적으로 정상소견입니다."</f>
        <v>흉부방사선 검사상 결핵 등 과거 염증 흔적으로 정상소견입니다.</v>
      </c>
      <c r="E156" s="1" t="str">
        <f t="shared" si="47"/>
        <v>WOK01</v>
      </c>
      <c r="F156" s="1" t="str">
        <f t="shared" si="51"/>
        <v>PTM00</v>
      </c>
      <c r="G156" s="1" t="str">
        <f>"DISJ"</f>
        <v>DISJ</v>
      </c>
      <c r="H156" s="1" t="str">
        <f>"REL02"</f>
        <v>REL02</v>
      </c>
      <c r="I156" s="1" t="str">
        <f>""</f>
        <v/>
      </c>
      <c r="J156" s="1" t="str">
        <f>"C01A"</f>
        <v>C01A</v>
      </c>
      <c r="K156" s="1" t="str">
        <f>"C01A"</f>
        <v>C01A</v>
      </c>
      <c r="L156" s="1" t="str">
        <f t="shared" si="43"/>
        <v>R</v>
      </c>
      <c r="M156" s="1" t="str">
        <f>"T04"</f>
        <v>T04</v>
      </c>
      <c r="N156" s="1" t="str">
        <f t="shared" si="45"/>
        <v>Y</v>
      </c>
      <c r="O156" s="1" t="str">
        <f t="shared" si="50"/>
        <v>Y</v>
      </c>
      <c r="P156" s="1" t="str">
        <f t="shared" si="46"/>
        <v>Y</v>
      </c>
      <c r="Q156" s="1" t="str">
        <f t="shared" si="52"/>
        <v>A</v>
      </c>
    </row>
    <row r="157" spans="1:17" x14ac:dyDescent="0.3">
      <c r="A157" s="1" t="str">
        <f t="shared" si="42"/>
        <v>A</v>
      </c>
      <c r="B157" s="1" t="str">
        <f>"J0197A"</f>
        <v>J0197A</v>
      </c>
      <c r="C157" s="1" t="str">
        <f>"DMF 과폭로 주의"</f>
        <v>DMF 과폭로 주의</v>
      </c>
      <c r="D157" s="1" t="str">
        <f>"2차검사상 정상이지만 디메틸포름아미드(DMF)에 과다노출이 의심되는 소견입니다. 작업시 보호구착용을 철저히 하시고 2개월 내 추적검사 받으세요."</f>
        <v>2차검사상 정상이지만 디메틸포름아미드(DMF)에 과다노출이 의심되는 소견입니다. 작업시 보호구착용을 철저히 하시고 2개월 내 추적검사 받으세요.</v>
      </c>
      <c r="E157" s="1" t="str">
        <f>"WOK02"</f>
        <v>WOK02</v>
      </c>
      <c r="F157" s="1" t="str">
        <f>"PTM032"</f>
        <v>PTM032</v>
      </c>
      <c r="G157" s="1" t="str">
        <f>"DIS202"</f>
        <v>DIS202</v>
      </c>
      <c r="H157" s="1" t="str">
        <f>"REL17"</f>
        <v>REL17</v>
      </c>
      <c r="I157" s="1" t="str">
        <f>"N0015"</f>
        <v>N0015</v>
      </c>
      <c r="J157" s="1" t="str">
        <f>"S01A"</f>
        <v>S01A</v>
      </c>
      <c r="K157" s="1" t="str">
        <f>"S01A"</f>
        <v>S01A</v>
      </c>
      <c r="L157" s="1" t="str">
        <f t="shared" si="43"/>
        <v>R</v>
      </c>
      <c r="M157" s="1" t="str">
        <f>"T12"</f>
        <v>T12</v>
      </c>
      <c r="N157" s="1" t="str">
        <f t="shared" si="45"/>
        <v>Y</v>
      </c>
      <c r="O157" s="1" t="str">
        <f t="shared" si="50"/>
        <v>Y</v>
      </c>
      <c r="P157" s="1" t="str">
        <f t="shared" si="46"/>
        <v>Y</v>
      </c>
      <c r="Q157" s="1" t="str">
        <f t="shared" si="52"/>
        <v>A</v>
      </c>
    </row>
    <row r="158" spans="1:17" x14ac:dyDescent="0.3">
      <c r="A158" s="1" t="str">
        <f t="shared" si="42"/>
        <v>A</v>
      </c>
      <c r="B158" s="1" t="str">
        <f>"J0203"</f>
        <v>J0203</v>
      </c>
      <c r="C158" s="1" t="str">
        <f>"정상(간담도계)"</f>
        <v>정상(간담도계)</v>
      </c>
      <c r="D158" s="1" t="str">
        <f>"간담도계 검사결과 특이소견이 발견되지 않았습니다."</f>
        <v>간담도계 검사결과 특이소견이 발견되지 않았습니다.</v>
      </c>
      <c r="E158" s="1" t="str">
        <f t="shared" ref="E158:E164" si="53">"WOK01"</f>
        <v>WOK01</v>
      </c>
      <c r="F158" s="1" t="str">
        <f>"PTM00"</f>
        <v>PTM00</v>
      </c>
      <c r="G158" s="1" t="str">
        <f>"DISK"</f>
        <v>DISK</v>
      </c>
      <c r="H158" s="1" t="str">
        <f>"REL05"</f>
        <v>REL05</v>
      </c>
      <c r="I158" s="1" t="str">
        <f>""</f>
        <v/>
      </c>
      <c r="J158" s="1" t="str">
        <f>"C05A"</f>
        <v>C05A</v>
      </c>
      <c r="K158" s="1" t="str">
        <f>"C05A"</f>
        <v>C05A</v>
      </c>
      <c r="L158" s="1" t="str">
        <f t="shared" si="43"/>
        <v>R</v>
      </c>
      <c r="M158" s="1" t="str">
        <f>"T02"</f>
        <v>T02</v>
      </c>
      <c r="N158" s="1" t="str">
        <f t="shared" si="45"/>
        <v>Y</v>
      </c>
      <c r="O158" s="1" t="str">
        <f t="shared" si="50"/>
        <v>Y</v>
      </c>
      <c r="P158" s="1" t="str">
        <f t="shared" si="46"/>
        <v>Y</v>
      </c>
      <c r="Q158" s="1" t="str">
        <f t="shared" si="52"/>
        <v>A</v>
      </c>
    </row>
    <row r="159" spans="1:17" x14ac:dyDescent="0.3">
      <c r="A159" s="1" t="str">
        <f t="shared" si="42"/>
        <v>A</v>
      </c>
      <c r="B159" s="1" t="str">
        <f>"J0204"</f>
        <v>J0204</v>
      </c>
      <c r="C159" s="1" t="str">
        <f>"정상(비뇨기계)"</f>
        <v>정상(비뇨기계)</v>
      </c>
      <c r="D159" s="1" t="str">
        <f>"1차 검사상 경도의 요단백 소견이 있어 시행한 추가 검사상 이상 소견이 없습니다. 작업중 보호구를 잘 착용하시고 정기적인 추적검사를 받아 보시길 바랍니다."</f>
        <v>1차 검사상 경도의 요단백 소견이 있어 시행한 추가 검사상 이상 소견이 없습니다. 작업중 보호구를 잘 착용하시고 정기적인 추적검사를 받아 보시길 바랍니다.</v>
      </c>
      <c r="E159" s="1" t="str">
        <f t="shared" si="53"/>
        <v>WOK01</v>
      </c>
      <c r="F159" s="1" t="str">
        <f>"PTM00"</f>
        <v>PTM00</v>
      </c>
      <c r="G159" s="1" t="str">
        <f>"DISN"</f>
        <v>DISN</v>
      </c>
      <c r="H159" s="1" t="str">
        <f>"REL08"</f>
        <v>REL08</v>
      </c>
      <c r="I159" s="1" t="str">
        <f>""</f>
        <v/>
      </c>
      <c r="J159" s="1" t="str">
        <f>"C44A"</f>
        <v>C44A</v>
      </c>
      <c r="K159" s="1" t="str">
        <f>"C44A"</f>
        <v>C44A</v>
      </c>
      <c r="L159" s="1" t="str">
        <f t="shared" si="43"/>
        <v>R</v>
      </c>
      <c r="M159" s="1" t="str">
        <f>"T05"</f>
        <v>T05</v>
      </c>
      <c r="N159" s="1" t="str">
        <f t="shared" si="45"/>
        <v>Y</v>
      </c>
      <c r="O159" s="1" t="str">
        <f t="shared" si="50"/>
        <v>Y</v>
      </c>
      <c r="P159" s="1" t="str">
        <f t="shared" si="46"/>
        <v>Y</v>
      </c>
      <c r="Q159" s="1" t="str">
        <f t="shared" si="52"/>
        <v>A</v>
      </c>
    </row>
    <row r="160" spans="1:17" x14ac:dyDescent="0.3">
      <c r="A160" s="1" t="str">
        <f t="shared" si="42"/>
        <v>A</v>
      </c>
      <c r="B160" s="1" t="str">
        <f>"J0204B"</f>
        <v>J0204B</v>
      </c>
      <c r="C160" s="1" t="str">
        <f>"(비뇨기계 2차 검진) 정상"</f>
        <v>(비뇨기계 2차 검진) 정상</v>
      </c>
      <c r="D160" s="1" t="s">
        <v>30</v>
      </c>
      <c r="E160" s="1" t="str">
        <f t="shared" si="53"/>
        <v>WOK01</v>
      </c>
      <c r="F160" s="1" t="str">
        <f>"PTM00"</f>
        <v>PTM00</v>
      </c>
      <c r="G160" s="1" t="str">
        <f>"DISN"</f>
        <v>DISN</v>
      </c>
      <c r="H160" s="1" t="str">
        <f>"REL08"</f>
        <v>REL08</v>
      </c>
      <c r="I160" s="1" t="str">
        <f>""</f>
        <v/>
      </c>
      <c r="J160" s="1" t="str">
        <f>"C44A"</f>
        <v>C44A</v>
      </c>
      <c r="K160" s="1" t="str">
        <f>"C44A"</f>
        <v>C44A</v>
      </c>
      <c r="L160" s="1" t="str">
        <f t="shared" si="43"/>
        <v>R</v>
      </c>
      <c r="M160" s="1" t="str">
        <f>"T05"</f>
        <v>T05</v>
      </c>
      <c r="N160" s="1" t="str">
        <f t="shared" si="45"/>
        <v>Y</v>
      </c>
      <c r="O160" s="1" t="str">
        <f t="shared" si="50"/>
        <v>Y</v>
      </c>
      <c r="P160" s="1" t="str">
        <f t="shared" si="46"/>
        <v>Y</v>
      </c>
      <c r="Q160" s="1" t="str">
        <f t="shared" si="52"/>
        <v>A</v>
      </c>
    </row>
    <row r="161" spans="1:17" x14ac:dyDescent="0.3">
      <c r="A161" s="1" t="str">
        <f t="shared" si="42"/>
        <v>A</v>
      </c>
      <c r="B161" s="1" t="str">
        <f>"J0205"</f>
        <v>J0205</v>
      </c>
      <c r="C161" s="1" t="str">
        <f>"정상(조혈기계)"</f>
        <v>정상(조혈기계)</v>
      </c>
      <c r="D161" s="1" t="str">
        <f>"특이소견 없음"</f>
        <v>특이소견 없음</v>
      </c>
      <c r="E161" s="1" t="str">
        <f t="shared" si="53"/>
        <v>WOK01</v>
      </c>
      <c r="F161" s="1" t="str">
        <f>"PTM00"</f>
        <v>PTM00</v>
      </c>
      <c r="G161" s="1" t="str">
        <f>"DISD"</f>
        <v>DISD</v>
      </c>
      <c r="H161" s="1" t="str">
        <f>"REL12"</f>
        <v>REL12</v>
      </c>
      <c r="I161" s="1" t="str">
        <f>""</f>
        <v/>
      </c>
      <c r="J161" s="1" t="str">
        <f>"C34A"</f>
        <v>C34A</v>
      </c>
      <c r="K161" s="1" t="str">
        <f>"C34A"</f>
        <v>C34A</v>
      </c>
      <c r="L161" s="1" t="str">
        <f t="shared" si="43"/>
        <v>R</v>
      </c>
      <c r="M161" s="1" t="str">
        <f>"T01"</f>
        <v>T01</v>
      </c>
      <c r="N161" s="1" t="str">
        <f t="shared" si="45"/>
        <v>Y</v>
      </c>
      <c r="O161" s="1" t="str">
        <f t="shared" si="50"/>
        <v>Y</v>
      </c>
      <c r="P161" s="1" t="str">
        <f t="shared" si="46"/>
        <v>Y</v>
      </c>
      <c r="Q161" s="1" t="str">
        <f t="shared" si="52"/>
        <v>A</v>
      </c>
    </row>
    <row r="162" spans="1:17" x14ac:dyDescent="0.3">
      <c r="A162" s="1" t="str">
        <f t="shared" si="42"/>
        <v>A</v>
      </c>
      <c r="B162" s="1" t="str">
        <f>"J0208"</f>
        <v>J0208</v>
      </c>
      <c r="C162" s="1" t="str">
        <f>"비활동성 폐결핵"</f>
        <v>비활동성 폐결핵</v>
      </c>
      <c r="D162" s="1" t="s">
        <v>31</v>
      </c>
      <c r="E162" s="1" t="str">
        <f t="shared" si="53"/>
        <v>WOK01</v>
      </c>
      <c r="F162" s="1" t="str">
        <f>"PTM00"</f>
        <v>PTM00</v>
      </c>
      <c r="G162" s="1" t="str">
        <f>"DISJ"</f>
        <v>DISJ</v>
      </c>
      <c r="H162" s="1" t="str">
        <f>"REL01"</f>
        <v>REL01</v>
      </c>
      <c r="I162" s="1" t="str">
        <f>""</f>
        <v/>
      </c>
      <c r="J162" s="1" t="str">
        <f>"C01A"</f>
        <v>C01A</v>
      </c>
      <c r="K162" s="1" t="str">
        <f>"C01A"</f>
        <v>C01A</v>
      </c>
      <c r="L162" s="1" t="str">
        <f t="shared" si="43"/>
        <v>R</v>
      </c>
      <c r="M162" s="1" t="str">
        <f>"T04"</f>
        <v>T04</v>
      </c>
      <c r="N162" s="1" t="str">
        <f t="shared" si="45"/>
        <v>Y</v>
      </c>
      <c r="O162" s="1" t="str">
        <f t="shared" si="50"/>
        <v>Y</v>
      </c>
      <c r="P162" s="1" t="str">
        <f t="shared" si="46"/>
        <v>Y</v>
      </c>
      <c r="Q162" s="1" t="str">
        <f t="shared" si="52"/>
        <v>A</v>
      </c>
    </row>
    <row r="163" spans="1:17" x14ac:dyDescent="0.3">
      <c r="A163" s="1" t="str">
        <f t="shared" si="42"/>
        <v>A</v>
      </c>
      <c r="B163" s="1" t="str">
        <f>"J0208AN"</f>
        <v>J0208AN</v>
      </c>
      <c r="C163" s="1" t="str">
        <f>"잠복결핵 음성"</f>
        <v>잠복결핵 음성</v>
      </c>
      <c r="D163" s="1" t="str">
        <f>"잠복결핵 검사 음성 소견입니다. 정상 소견입니다."</f>
        <v>잠복결핵 검사 음성 소견입니다. 정상 소견입니다.</v>
      </c>
      <c r="E163" s="1" t="str">
        <f t="shared" si="53"/>
        <v>WOK01</v>
      </c>
      <c r="F163" s="1" t="str">
        <f>"PTM01"</f>
        <v>PTM01</v>
      </c>
      <c r="G163" s="1" t="str">
        <f>"DISJ"</f>
        <v>DISJ</v>
      </c>
      <c r="H163" s="1" t="str">
        <f>"REL01"</f>
        <v>REL01</v>
      </c>
      <c r="I163" s="1" t="str">
        <f>""</f>
        <v/>
      </c>
      <c r="J163" s="1" t="str">
        <f>"C01A"</f>
        <v>C01A</v>
      </c>
      <c r="K163" s="1" t="str">
        <f>"C01A"</f>
        <v>C01A</v>
      </c>
      <c r="L163" s="1" t="str">
        <f t="shared" si="43"/>
        <v>R</v>
      </c>
      <c r="M163" s="1" t="str">
        <f>"T04"</f>
        <v>T04</v>
      </c>
      <c r="N163" s="1" t="str">
        <f t="shared" si="45"/>
        <v>Y</v>
      </c>
      <c r="O163" s="1" t="str">
        <f t="shared" si="50"/>
        <v>Y</v>
      </c>
      <c r="P163" s="1" t="str">
        <f t="shared" si="46"/>
        <v>Y</v>
      </c>
      <c r="Q163" s="1" t="str">
        <f t="shared" si="52"/>
        <v>A</v>
      </c>
    </row>
    <row r="164" spans="1:17" x14ac:dyDescent="0.3">
      <c r="A164" s="1" t="str">
        <f t="shared" si="42"/>
        <v>A</v>
      </c>
      <c r="B164" s="1" t="str">
        <f>"J0238"</f>
        <v>J0238</v>
      </c>
      <c r="C164" s="1" t="str">
        <f>"정상 혈압(2차)"</f>
        <v>정상 혈압(2차)</v>
      </c>
      <c r="D164" s="1" t="str">
        <f>"현재 정상 범위의 혈압입니다. 주기적 혈압 측정하시기 바랍니다."</f>
        <v>현재 정상 범위의 혈압입니다. 주기적 혈압 측정하시기 바랍니다.</v>
      </c>
      <c r="E164" s="1" t="str">
        <f t="shared" si="53"/>
        <v>WOK01</v>
      </c>
      <c r="F164" s="1" t="str">
        <f>""</f>
        <v/>
      </c>
      <c r="G164" s="1" t="str">
        <f>"DISI"</f>
        <v>DISI</v>
      </c>
      <c r="H164" s="1" t="str">
        <f>"REL06"</f>
        <v>REL06</v>
      </c>
      <c r="I164" s="1" t="str">
        <f>""</f>
        <v/>
      </c>
      <c r="J164" s="1" t="str">
        <f>"C03A"</f>
        <v>C03A</v>
      </c>
      <c r="K164" s="1" t="str">
        <f>"C03A"</f>
        <v>C03A</v>
      </c>
      <c r="L164" s="1" t="str">
        <f t="shared" si="43"/>
        <v>R</v>
      </c>
      <c r="M164" s="1" t="str">
        <f>"T03"</f>
        <v>T03</v>
      </c>
      <c r="N164" s="1" t="str">
        <f t="shared" si="45"/>
        <v>Y</v>
      </c>
      <c r="O164" s="1" t="str">
        <f t="shared" si="50"/>
        <v>Y</v>
      </c>
      <c r="P164" s="1" t="str">
        <f t="shared" si="46"/>
        <v>Y</v>
      </c>
      <c r="Q164" s="1" t="str">
        <f t="shared" si="52"/>
        <v>A</v>
      </c>
    </row>
    <row r="165" spans="1:17" x14ac:dyDescent="0.3">
      <c r="A165" s="1" t="str">
        <f t="shared" si="42"/>
        <v>A</v>
      </c>
      <c r="B165" s="1" t="str">
        <f>"J0243"</f>
        <v>J0243</v>
      </c>
      <c r="C165" s="1" t="str">
        <f>"대변잠혈반응검사 음성"</f>
        <v>대변잠혈반응검사 음성</v>
      </c>
      <c r="D165" s="1" t="s">
        <v>32</v>
      </c>
      <c r="E165" s="1" t="str">
        <f>""</f>
        <v/>
      </c>
      <c r="F165" s="1" t="str">
        <f>""</f>
        <v/>
      </c>
      <c r="G165" s="1" t="str">
        <f>""</f>
        <v/>
      </c>
      <c r="H165" s="1" t="str">
        <f>""</f>
        <v/>
      </c>
      <c r="I165" s="1" t="str">
        <f>""</f>
        <v/>
      </c>
      <c r="J165" s="1" t="str">
        <f>""</f>
        <v/>
      </c>
      <c r="K165" s="1" t="str">
        <f>""</f>
        <v/>
      </c>
      <c r="L165" s="1" t="str">
        <f t="shared" si="43"/>
        <v>R</v>
      </c>
      <c r="M165" s="1" t="str">
        <f>""</f>
        <v/>
      </c>
      <c r="N165" s="1" t="str">
        <f t="shared" si="45"/>
        <v>Y</v>
      </c>
      <c r="O165" s="1" t="str">
        <f>"N"</f>
        <v>N</v>
      </c>
      <c r="P165" s="1" t="str">
        <f t="shared" si="46"/>
        <v>Y</v>
      </c>
      <c r="Q165" s="1" t="str">
        <f t="shared" si="52"/>
        <v>A</v>
      </c>
    </row>
    <row r="166" spans="1:17" x14ac:dyDescent="0.3">
      <c r="A166" s="1" t="str">
        <f t="shared" si="42"/>
        <v>A</v>
      </c>
      <c r="B166" s="1" t="str">
        <f>"J0244"</f>
        <v>J0244</v>
      </c>
      <c r="C166" s="1" t="str">
        <f>"대변잠혈반응검사 음성"</f>
        <v>대변잠혈반응검사 음성</v>
      </c>
      <c r="D166" s="1" t="s">
        <v>33</v>
      </c>
      <c r="E166" s="1" t="str">
        <f>""</f>
        <v/>
      </c>
      <c r="F166" s="1" t="str">
        <f>""</f>
        <v/>
      </c>
      <c r="G166" s="1" t="str">
        <f>""</f>
        <v/>
      </c>
      <c r="H166" s="1" t="str">
        <f>""</f>
        <v/>
      </c>
      <c r="I166" s="1" t="str">
        <f>""</f>
        <v/>
      </c>
      <c r="J166" s="1" t="str">
        <f>""</f>
        <v/>
      </c>
      <c r="K166" s="1" t="str">
        <f>""</f>
        <v/>
      </c>
      <c r="L166" s="1" t="str">
        <f t="shared" si="43"/>
        <v>R</v>
      </c>
      <c r="M166" s="1" t="str">
        <f>""</f>
        <v/>
      </c>
      <c r="N166" s="1" t="str">
        <f t="shared" si="45"/>
        <v>Y</v>
      </c>
      <c r="O166" s="1" t="str">
        <f t="shared" ref="O166:O197" si="54">"Y"</f>
        <v>Y</v>
      </c>
      <c r="P166" s="1" t="str">
        <f t="shared" si="46"/>
        <v>Y</v>
      </c>
      <c r="Q166" s="1" t="str">
        <f t="shared" si="52"/>
        <v>A</v>
      </c>
    </row>
    <row r="167" spans="1:17" x14ac:dyDescent="0.3">
      <c r="A167" s="1" t="str">
        <f t="shared" si="42"/>
        <v>A</v>
      </c>
      <c r="B167" s="1" t="str">
        <f>"J0259"</f>
        <v>J0259</v>
      </c>
      <c r="C167" s="1" t="str">
        <f>"정상(골밀도검사)"</f>
        <v>정상(골밀도검사)</v>
      </c>
      <c r="D167" s="1" t="str">
        <f>"골밀도 검사상 정상 입니다."</f>
        <v>골밀도 검사상 정상 입니다.</v>
      </c>
      <c r="E167" s="1" t="str">
        <f t="shared" ref="E167:E172" si="55">"WOK01"</f>
        <v>WOK01</v>
      </c>
      <c r="F167" s="1" t="str">
        <f>""</f>
        <v/>
      </c>
      <c r="G167" s="1" t="str">
        <f>"DISM"</f>
        <v>DISM</v>
      </c>
      <c r="H167" s="1" t="str">
        <f>"REL32"</f>
        <v>REL32</v>
      </c>
      <c r="I167" s="1" t="str">
        <f>""</f>
        <v/>
      </c>
      <c r="J167" s="1" t="str">
        <f>"C43A"</f>
        <v>C43A</v>
      </c>
      <c r="K167" s="1" t="str">
        <f>"C43A"</f>
        <v>C43A</v>
      </c>
      <c r="L167" s="1" t="str">
        <f t="shared" si="43"/>
        <v>R</v>
      </c>
      <c r="M167" s="1" t="str">
        <f>""</f>
        <v/>
      </c>
      <c r="N167" s="1" t="str">
        <f t="shared" si="45"/>
        <v>Y</v>
      </c>
      <c r="O167" s="1" t="str">
        <f t="shared" si="54"/>
        <v>Y</v>
      </c>
      <c r="P167" s="1" t="str">
        <f t="shared" si="46"/>
        <v>Y</v>
      </c>
      <c r="Q167" s="1" t="str">
        <f t="shared" si="52"/>
        <v>A</v>
      </c>
    </row>
    <row r="168" spans="1:17" x14ac:dyDescent="0.3">
      <c r="A168" s="1" t="str">
        <f t="shared" si="42"/>
        <v>A</v>
      </c>
      <c r="B168" s="1" t="str">
        <f>"J0284"</f>
        <v>J0284</v>
      </c>
      <c r="C168" s="1" t="str">
        <f>"이비인후과 검사상 정상소견"</f>
        <v>이비인후과 검사상 정상소견</v>
      </c>
      <c r="D168" s="1" t="str">
        <f>"증상에 대한 해당과 진료 결과 이상 소견 보이지 않습니다."</f>
        <v>증상에 대한 해당과 진료 결과 이상 소견 보이지 않습니다.</v>
      </c>
      <c r="E168" s="1" t="str">
        <f t="shared" si="55"/>
        <v>WOK01</v>
      </c>
      <c r="F168" s="1" t="str">
        <f>"PTM00"</f>
        <v>PTM00</v>
      </c>
      <c r="G168" s="1" t="str">
        <f>""</f>
        <v/>
      </c>
      <c r="H168" s="1" t="str">
        <f>""</f>
        <v/>
      </c>
      <c r="I168" s="1" t="str">
        <f>""</f>
        <v/>
      </c>
      <c r="J168" s="1" t="str">
        <f t="shared" ref="J168:K171" si="56">"S01A"</f>
        <v>S01A</v>
      </c>
      <c r="K168" s="1" t="str">
        <f t="shared" si="56"/>
        <v>S01A</v>
      </c>
      <c r="L168" s="1" t="str">
        <f t="shared" si="43"/>
        <v>R</v>
      </c>
      <c r="M168" s="1" t="str">
        <f>""</f>
        <v/>
      </c>
      <c r="N168" s="1" t="str">
        <f t="shared" si="45"/>
        <v>Y</v>
      </c>
      <c r="O168" s="1" t="str">
        <f t="shared" si="54"/>
        <v>Y</v>
      </c>
      <c r="P168" s="1" t="str">
        <f t="shared" si="46"/>
        <v>Y</v>
      </c>
      <c r="Q168" s="1" t="str">
        <f t="shared" si="52"/>
        <v>A</v>
      </c>
    </row>
    <row r="169" spans="1:17" x14ac:dyDescent="0.3">
      <c r="A169" s="1" t="str">
        <f t="shared" si="42"/>
        <v>A</v>
      </c>
      <c r="B169" s="1" t="str">
        <f>"J0299"</f>
        <v>J0299</v>
      </c>
      <c r="C169" s="1" t="str">
        <f>"후각기능검사 정상"</f>
        <v>후각기능검사 정상</v>
      </c>
      <c r="D169" s="1" t="str">
        <f>"2차 후각기능검사 결과상 정상입니다. 보호구착용을 요합니다."</f>
        <v>2차 후각기능검사 결과상 정상입니다. 보호구착용을 요합니다.</v>
      </c>
      <c r="E169" s="1" t="str">
        <f t="shared" si="55"/>
        <v>WOK01</v>
      </c>
      <c r="F169" s="1" t="str">
        <f>"PTM03"</f>
        <v>PTM03</v>
      </c>
      <c r="G169" s="1" t="str">
        <f>"DISH"</f>
        <v>DISH</v>
      </c>
      <c r="H169" s="1" t="str">
        <f>"REL31"</f>
        <v>REL31</v>
      </c>
      <c r="I169" s="1" t="str">
        <f>""</f>
        <v/>
      </c>
      <c r="J169" s="1" t="str">
        <f t="shared" si="56"/>
        <v>S01A</v>
      </c>
      <c r="K169" s="1" t="str">
        <f t="shared" si="56"/>
        <v>S01A</v>
      </c>
      <c r="L169" s="1" t="str">
        <f t="shared" si="43"/>
        <v>R</v>
      </c>
      <c r="M169" s="1" t="str">
        <f>"T10"</f>
        <v>T10</v>
      </c>
      <c r="N169" s="1" t="str">
        <f t="shared" si="45"/>
        <v>Y</v>
      </c>
      <c r="O169" s="1" t="str">
        <f t="shared" si="54"/>
        <v>Y</v>
      </c>
      <c r="P169" s="1" t="str">
        <f t="shared" si="46"/>
        <v>Y</v>
      </c>
      <c r="Q169" s="1" t="str">
        <f t="shared" si="52"/>
        <v>A</v>
      </c>
    </row>
    <row r="170" spans="1:17" x14ac:dyDescent="0.3">
      <c r="A170" s="1" t="str">
        <f t="shared" si="42"/>
        <v>A</v>
      </c>
      <c r="B170" s="1" t="str">
        <f>"J0300"</f>
        <v>J0300</v>
      </c>
      <c r="C170" s="1" t="str">
        <f>"요중크롬 정상"</f>
        <v>요중크롬 정상</v>
      </c>
      <c r="D170" s="1" t="str">
        <f>"2차 요중 크롬 검사상 정상수치 입니다. 작업시 보호구착용을 요합니다."</f>
        <v>2차 요중 크롬 검사상 정상수치 입니다. 작업시 보호구착용을 요합니다.</v>
      </c>
      <c r="E170" s="1" t="str">
        <f t="shared" si="55"/>
        <v>WOK01</v>
      </c>
      <c r="F170" s="1" t="str">
        <f>"PTM00"</f>
        <v>PTM00</v>
      </c>
      <c r="G170" s="1" t="str">
        <f>"DIS309"</f>
        <v>DIS309</v>
      </c>
      <c r="H170" s="1" t="str">
        <f>"REL16"</f>
        <v>REL16</v>
      </c>
      <c r="I170" s="1" t="str">
        <f>""</f>
        <v/>
      </c>
      <c r="J170" s="1" t="str">
        <f t="shared" si="56"/>
        <v>S01A</v>
      </c>
      <c r="K170" s="1" t="str">
        <f t="shared" si="56"/>
        <v>S01A</v>
      </c>
      <c r="L170" s="1" t="str">
        <f t="shared" si="43"/>
        <v>R</v>
      </c>
      <c r="M170" s="1" t="str">
        <f>"T12"</f>
        <v>T12</v>
      </c>
      <c r="N170" s="1" t="str">
        <f t="shared" ref="N170:N199" si="57">"Y"</f>
        <v>Y</v>
      </c>
      <c r="O170" s="1" t="str">
        <f t="shared" si="54"/>
        <v>Y</v>
      </c>
      <c r="P170" s="1" t="str">
        <f t="shared" si="46"/>
        <v>Y</v>
      </c>
      <c r="Q170" s="1" t="str">
        <f t="shared" si="52"/>
        <v>A</v>
      </c>
    </row>
    <row r="171" spans="1:17" x14ac:dyDescent="0.3">
      <c r="A171" s="1" t="str">
        <f t="shared" si="42"/>
        <v>A</v>
      </c>
      <c r="B171" s="1" t="str">
        <f>"J0307"</f>
        <v>J0307</v>
      </c>
      <c r="C171" s="1" t="str">
        <f>"정상(뮤콘산 검사)"</f>
        <v>정상(뮤콘산 검사)</v>
      </c>
      <c r="D171" s="1" t="str">
        <f>"벤젠 노출에 의한 증상호소로 뮤？산 검사를 하였으나 검사상 정상치를 보입니다. 벤젠사용시 보호구 사용이 필요합니다."</f>
        <v>벤젠 노출에 의한 증상호소로 뮤？산 검사를 하였으나 검사상 정상치를 보입니다. 벤젠사용시 보호구 사용이 필요합니다.</v>
      </c>
      <c r="E171" s="1" t="str">
        <f t="shared" si="55"/>
        <v>WOK01</v>
      </c>
      <c r="F171" s="1" t="str">
        <f>"PTM00"</f>
        <v>PTM00</v>
      </c>
      <c r="G171" s="1" t="str">
        <f>"DISD"</f>
        <v>DISD</v>
      </c>
      <c r="H171" s="1" t="str">
        <f>"REL12"</f>
        <v>REL12</v>
      </c>
      <c r="I171" s="1" t="str">
        <f>"N0038"</f>
        <v>N0038</v>
      </c>
      <c r="J171" s="1" t="str">
        <f t="shared" si="56"/>
        <v>S01A</v>
      </c>
      <c r="K171" s="1" t="str">
        <f t="shared" si="56"/>
        <v>S01A</v>
      </c>
      <c r="L171" s="1" t="str">
        <f t="shared" si="43"/>
        <v>R</v>
      </c>
      <c r="M171" s="1" t="str">
        <f>"T01"</f>
        <v>T01</v>
      </c>
      <c r="N171" s="1" t="str">
        <f t="shared" si="57"/>
        <v>Y</v>
      </c>
      <c r="O171" s="1" t="str">
        <f t="shared" si="54"/>
        <v>Y</v>
      </c>
      <c r="P171" s="1" t="str">
        <f t="shared" si="46"/>
        <v>Y</v>
      </c>
      <c r="Q171" s="1" t="str">
        <f t="shared" si="52"/>
        <v>A</v>
      </c>
    </row>
    <row r="172" spans="1:17" x14ac:dyDescent="0.3">
      <c r="A172" s="1" t="str">
        <f t="shared" si="42"/>
        <v>A</v>
      </c>
      <c r="B172" s="1" t="str">
        <f>"J0334"</f>
        <v>J0334</v>
      </c>
      <c r="C172" s="1" t="str">
        <f>"신경행동검사상 정상"</f>
        <v>신경행동검사상 정상</v>
      </c>
      <c r="D172" s="1" t="s">
        <v>34</v>
      </c>
      <c r="E172" s="1" t="str">
        <f t="shared" si="55"/>
        <v>WOK01</v>
      </c>
      <c r="F172" s="1" t="str">
        <f>"PTM00"</f>
        <v>PTM00</v>
      </c>
      <c r="G172" s="1" t="str">
        <f>"DISG"</f>
        <v>DISG</v>
      </c>
      <c r="H172" s="1" t="str">
        <f>"REL21"</f>
        <v>REL21</v>
      </c>
      <c r="I172" s="1" t="str">
        <f>""</f>
        <v/>
      </c>
      <c r="J172" s="1" t="str">
        <f>"C36A"</f>
        <v>C36A</v>
      </c>
      <c r="K172" s="1" t="str">
        <f>"C36A"</f>
        <v>C36A</v>
      </c>
      <c r="L172" s="1" t="str">
        <f t="shared" si="43"/>
        <v>R</v>
      </c>
      <c r="M172" s="1" t="str">
        <f>"T06"</f>
        <v>T06</v>
      </c>
      <c r="N172" s="1" t="str">
        <f t="shared" si="57"/>
        <v>Y</v>
      </c>
      <c r="O172" s="1" t="str">
        <f t="shared" si="54"/>
        <v>Y</v>
      </c>
      <c r="P172" s="1" t="str">
        <f t="shared" si="46"/>
        <v>Y</v>
      </c>
      <c r="Q172" s="1" t="str">
        <f t="shared" si="52"/>
        <v>A</v>
      </c>
    </row>
    <row r="173" spans="1:17" x14ac:dyDescent="0.3">
      <c r="A173" s="1" t="str">
        <f t="shared" si="42"/>
        <v>A</v>
      </c>
      <c r="B173" s="1" t="str">
        <f>"J0368"</f>
        <v>J0368</v>
      </c>
      <c r="C173" s="1" t="str">
        <f>"심박변이도검사 정상"</f>
        <v>심박변이도검사 정상</v>
      </c>
      <c r="D173" s="1" t="str">
        <f>"심박변이도검사상 스트레스에 대한 대처능력이 정상입니다"</f>
        <v>심박변이도검사상 스트레스에 대한 대처능력이 정상입니다</v>
      </c>
      <c r="E173" s="1" t="str">
        <f>""</f>
        <v/>
      </c>
      <c r="F173" s="1" t="str">
        <f>""</f>
        <v/>
      </c>
      <c r="G173" s="1" t="str">
        <f>"DISG"</f>
        <v>DISG</v>
      </c>
      <c r="H173" s="1" t="str">
        <f>"REL21"</f>
        <v>REL21</v>
      </c>
      <c r="I173" s="1" t="str">
        <f>""</f>
        <v/>
      </c>
      <c r="J173" s="1" t="str">
        <f>""</f>
        <v/>
      </c>
      <c r="K173" s="1" t="str">
        <f>""</f>
        <v/>
      </c>
      <c r="L173" s="1" t="str">
        <f t="shared" si="43"/>
        <v>R</v>
      </c>
      <c r="M173" s="1" t="str">
        <f>""</f>
        <v/>
      </c>
      <c r="N173" s="1" t="str">
        <f t="shared" si="57"/>
        <v>Y</v>
      </c>
      <c r="O173" s="1" t="str">
        <f t="shared" si="54"/>
        <v>Y</v>
      </c>
      <c r="P173" s="1" t="str">
        <f t="shared" si="46"/>
        <v>Y</v>
      </c>
      <c r="Q173" s="1" t="str">
        <f t="shared" si="52"/>
        <v>A</v>
      </c>
    </row>
    <row r="174" spans="1:17" x14ac:dyDescent="0.3">
      <c r="A174" s="1" t="str">
        <f t="shared" si="42"/>
        <v>A</v>
      </c>
      <c r="B174" s="1" t="str">
        <f>"J0375"</f>
        <v>J0375</v>
      </c>
      <c r="C174" s="1" t="str">
        <f>"알레르기성 천식검사상 정상"</f>
        <v>알레르기성 천식검사상 정상</v>
      </c>
      <c r="D174" s="1" t="str">
        <f>"천식검사상 정상 소견입니다. 작업시 보호구착용을 철저히 하세요"</f>
        <v>천식검사상 정상 소견입니다. 작업시 보호구착용을 철저히 하세요</v>
      </c>
      <c r="E174" s="1" t="str">
        <f t="shared" ref="E174:E179" si="58">"WOK01"</f>
        <v>WOK01</v>
      </c>
      <c r="F174" s="1" t="str">
        <f t="shared" ref="F174:F179" si="59">"PTM00"</f>
        <v>PTM00</v>
      </c>
      <c r="G174" s="1" t="str">
        <f>"DISJ"</f>
        <v>DISJ</v>
      </c>
      <c r="H174" s="1" t="str">
        <f>"REL02"</f>
        <v>REL02</v>
      </c>
      <c r="I174" s="1" t="str">
        <f>""</f>
        <v/>
      </c>
      <c r="J174" s="1" t="str">
        <f>"S01A"</f>
        <v>S01A</v>
      </c>
      <c r="K174" s="1" t="str">
        <f>"S01A"</f>
        <v>S01A</v>
      </c>
      <c r="L174" s="1" t="str">
        <f t="shared" si="43"/>
        <v>R</v>
      </c>
      <c r="M174" s="1" t="str">
        <f>"T04"</f>
        <v>T04</v>
      </c>
      <c r="N174" s="1" t="str">
        <f t="shared" si="57"/>
        <v>Y</v>
      </c>
      <c r="O174" s="1" t="str">
        <f t="shared" si="54"/>
        <v>Y</v>
      </c>
      <c r="P174" s="1" t="str">
        <f t="shared" si="46"/>
        <v>Y</v>
      </c>
      <c r="Q174" s="1" t="str">
        <f t="shared" si="52"/>
        <v>A</v>
      </c>
    </row>
    <row r="175" spans="1:17" x14ac:dyDescent="0.3">
      <c r="A175" s="1" t="str">
        <f t="shared" si="42"/>
        <v>A</v>
      </c>
      <c r="B175" s="1" t="str">
        <f>"J0492"</f>
        <v>J0492</v>
      </c>
      <c r="C175" s="1" t="str">
        <f>"(우측)청력 정상"</f>
        <v>(우측)청력 정상</v>
      </c>
      <c r="D175" s="1" t="s">
        <v>35</v>
      </c>
      <c r="E175" s="1" t="str">
        <f t="shared" si="58"/>
        <v>WOK01</v>
      </c>
      <c r="F175" s="1" t="str">
        <f t="shared" si="59"/>
        <v>PTM00</v>
      </c>
      <c r="G175" s="1" t="str">
        <f>"DISH"</f>
        <v>DISH</v>
      </c>
      <c r="H175" s="1" t="str">
        <f>"REL19"</f>
        <v>REL19</v>
      </c>
      <c r="I175" s="1" t="str">
        <f>"01"</f>
        <v>01</v>
      </c>
      <c r="J175" s="1" t="str">
        <f t="shared" ref="J175:K178" si="60">"C38A"</f>
        <v>C38A</v>
      </c>
      <c r="K175" s="1" t="str">
        <f t="shared" si="60"/>
        <v>C38A</v>
      </c>
      <c r="L175" s="1" t="str">
        <f t="shared" si="43"/>
        <v>R</v>
      </c>
      <c r="M175" s="1" t="str">
        <f>"T10"</f>
        <v>T10</v>
      </c>
      <c r="N175" s="1" t="str">
        <f t="shared" si="57"/>
        <v>Y</v>
      </c>
      <c r="O175" s="1" t="str">
        <f t="shared" si="54"/>
        <v>Y</v>
      </c>
      <c r="P175" s="1" t="str">
        <f t="shared" si="46"/>
        <v>Y</v>
      </c>
      <c r="Q175" s="1" t="str">
        <f>"R"</f>
        <v>R</v>
      </c>
    </row>
    <row r="176" spans="1:17" x14ac:dyDescent="0.3">
      <c r="A176" s="1" t="str">
        <f t="shared" si="42"/>
        <v>A</v>
      </c>
      <c r="B176" s="1" t="str">
        <f>"J0492B"</f>
        <v>J0492B</v>
      </c>
      <c r="C176" s="1" t="str">
        <f>"(우측)청력정상"</f>
        <v>(우측)청력정상</v>
      </c>
      <c r="D176" s="1" t="str">
        <f>"청력검사 정상"</f>
        <v>청력검사 정상</v>
      </c>
      <c r="E176" s="1" t="str">
        <f t="shared" si="58"/>
        <v>WOK01</v>
      </c>
      <c r="F176" s="1" t="str">
        <f t="shared" si="59"/>
        <v>PTM00</v>
      </c>
      <c r="G176" s="1" t="str">
        <f>"DIS110"</f>
        <v>DIS110</v>
      </c>
      <c r="H176" s="1" t="str">
        <f>"REL19"</f>
        <v>REL19</v>
      </c>
      <c r="I176" s="1" t="str">
        <f>"01"</f>
        <v>01</v>
      </c>
      <c r="J176" s="1" t="str">
        <f t="shared" si="60"/>
        <v>C38A</v>
      </c>
      <c r="K176" s="1" t="str">
        <f t="shared" si="60"/>
        <v>C38A</v>
      </c>
      <c r="L176" s="1" t="str">
        <f t="shared" si="43"/>
        <v>R</v>
      </c>
      <c r="M176" s="1" t="str">
        <f>"T10"</f>
        <v>T10</v>
      </c>
      <c r="N176" s="1" t="str">
        <f t="shared" si="57"/>
        <v>Y</v>
      </c>
      <c r="O176" s="1" t="str">
        <f t="shared" si="54"/>
        <v>Y</v>
      </c>
      <c r="P176" s="1" t="str">
        <f t="shared" si="46"/>
        <v>Y</v>
      </c>
      <c r="Q176" s="1" t="str">
        <f>"R"</f>
        <v>R</v>
      </c>
    </row>
    <row r="177" spans="1:17" x14ac:dyDescent="0.3">
      <c r="A177" s="1" t="str">
        <f t="shared" si="42"/>
        <v>A</v>
      </c>
      <c r="B177" s="1" t="str">
        <f>"J0493"</f>
        <v>J0493</v>
      </c>
      <c r="C177" s="1" t="str">
        <f>"(좌측)청력 정상"</f>
        <v>(좌측)청력 정상</v>
      </c>
      <c r="D177" s="1" t="s">
        <v>36</v>
      </c>
      <c r="E177" s="1" t="str">
        <f t="shared" si="58"/>
        <v>WOK01</v>
      </c>
      <c r="F177" s="1" t="str">
        <f t="shared" si="59"/>
        <v>PTM00</v>
      </c>
      <c r="G177" s="1" t="str">
        <f>"DISH"</f>
        <v>DISH</v>
      </c>
      <c r="H177" s="1" t="str">
        <f>"REL19"</f>
        <v>REL19</v>
      </c>
      <c r="I177" s="1" t="str">
        <f>"01"</f>
        <v>01</v>
      </c>
      <c r="J177" s="1" t="str">
        <f t="shared" si="60"/>
        <v>C38A</v>
      </c>
      <c r="K177" s="1" t="str">
        <f t="shared" si="60"/>
        <v>C38A</v>
      </c>
      <c r="L177" s="1" t="str">
        <f t="shared" si="43"/>
        <v>R</v>
      </c>
      <c r="M177" s="1" t="str">
        <f>"T10"</f>
        <v>T10</v>
      </c>
      <c r="N177" s="1" t="str">
        <f t="shared" si="57"/>
        <v>Y</v>
      </c>
      <c r="O177" s="1" t="str">
        <f t="shared" si="54"/>
        <v>Y</v>
      </c>
      <c r="P177" s="1" t="str">
        <f t="shared" si="46"/>
        <v>Y</v>
      </c>
      <c r="Q177" s="1" t="str">
        <f>"L"</f>
        <v>L</v>
      </c>
    </row>
    <row r="178" spans="1:17" x14ac:dyDescent="0.3">
      <c r="A178" s="1" t="str">
        <f t="shared" si="42"/>
        <v>A</v>
      </c>
      <c r="B178" s="1" t="str">
        <f>"J0493B"</f>
        <v>J0493B</v>
      </c>
      <c r="C178" s="1" t="str">
        <f>"(좌측)청력정상"</f>
        <v>(좌측)청력정상</v>
      </c>
      <c r="D178" s="1" t="str">
        <f>"청력검사 정상"</f>
        <v>청력검사 정상</v>
      </c>
      <c r="E178" s="1" t="str">
        <f t="shared" si="58"/>
        <v>WOK01</v>
      </c>
      <c r="F178" s="1" t="str">
        <f t="shared" si="59"/>
        <v>PTM00</v>
      </c>
      <c r="G178" s="1" t="str">
        <f>"DIS110"</f>
        <v>DIS110</v>
      </c>
      <c r="H178" s="1" t="str">
        <f>"REL19"</f>
        <v>REL19</v>
      </c>
      <c r="I178" s="1" t="str">
        <f>"01"</f>
        <v>01</v>
      </c>
      <c r="J178" s="1" t="str">
        <f t="shared" si="60"/>
        <v>C38A</v>
      </c>
      <c r="K178" s="1" t="str">
        <f t="shared" si="60"/>
        <v>C38A</v>
      </c>
      <c r="L178" s="1" t="str">
        <f t="shared" si="43"/>
        <v>R</v>
      </c>
      <c r="M178" s="1" t="str">
        <f>"T10"</f>
        <v>T10</v>
      </c>
      <c r="N178" s="1" t="str">
        <f t="shared" si="57"/>
        <v>Y</v>
      </c>
      <c r="O178" s="1" t="str">
        <f t="shared" si="54"/>
        <v>Y</v>
      </c>
      <c r="P178" s="1" t="str">
        <f t="shared" si="46"/>
        <v>Y</v>
      </c>
      <c r="Q178" s="1" t="str">
        <f>"L"</f>
        <v>L</v>
      </c>
    </row>
    <row r="179" spans="1:17" x14ac:dyDescent="0.3">
      <c r="A179" s="1" t="str">
        <f t="shared" si="42"/>
        <v>A</v>
      </c>
      <c r="B179" s="1" t="str">
        <f>"J0496"</f>
        <v>J0496</v>
      </c>
      <c r="C179" s="1" t="str">
        <f>"비활동성폐결핵"</f>
        <v>비활동성폐결핵</v>
      </c>
      <c r="D179" s="1" t="str">
        <f>"흉부방사선 검사상 결핵 등 과거 염증 흔적으로 정상소견입니다."</f>
        <v>흉부방사선 검사상 결핵 등 과거 염증 흔적으로 정상소견입니다.</v>
      </c>
      <c r="E179" s="1" t="str">
        <f t="shared" si="58"/>
        <v>WOK01</v>
      </c>
      <c r="F179" s="1" t="str">
        <f t="shared" si="59"/>
        <v>PTM00</v>
      </c>
      <c r="G179" s="1" t="str">
        <f>"DISJ"</f>
        <v>DISJ</v>
      </c>
      <c r="H179" s="1" t="str">
        <f>"REL01"</f>
        <v>REL01</v>
      </c>
      <c r="I179" s="1" t="str">
        <f>""</f>
        <v/>
      </c>
      <c r="J179" s="1" t="str">
        <f>"C01A"</f>
        <v>C01A</v>
      </c>
      <c r="K179" s="1" t="str">
        <f>"C01A"</f>
        <v>C01A</v>
      </c>
      <c r="L179" s="1" t="str">
        <f t="shared" si="43"/>
        <v>R</v>
      </c>
      <c r="M179" s="1" t="str">
        <f>"T04"</f>
        <v>T04</v>
      </c>
      <c r="N179" s="1" t="str">
        <f t="shared" si="57"/>
        <v>Y</v>
      </c>
      <c r="O179" s="1" t="str">
        <f t="shared" si="54"/>
        <v>Y</v>
      </c>
      <c r="P179" s="1" t="str">
        <f t="shared" si="46"/>
        <v>Y</v>
      </c>
      <c r="Q179" s="1" t="str">
        <f t="shared" ref="Q179:Q203" si="61">"A"</f>
        <v>A</v>
      </c>
    </row>
    <row r="180" spans="1:17" x14ac:dyDescent="0.3">
      <c r="A180" s="1" t="str">
        <f t="shared" si="42"/>
        <v>A</v>
      </c>
      <c r="B180" s="1" t="str">
        <f>"L066501"</f>
        <v>L066501</v>
      </c>
      <c r="C180" s="1" t="str">
        <f>"정상"</f>
        <v>정상</v>
      </c>
      <c r="D180" s="1" t="s">
        <v>37</v>
      </c>
      <c r="E180" s="1" t="str">
        <f>""</f>
        <v/>
      </c>
      <c r="F180" s="1" t="str">
        <f>""</f>
        <v/>
      </c>
      <c r="G180" s="1" t="str">
        <f>""</f>
        <v/>
      </c>
      <c r="H180" s="1" t="str">
        <f>""</f>
        <v/>
      </c>
      <c r="I180" s="1" t="str">
        <f>""</f>
        <v/>
      </c>
      <c r="J180" s="1" t="str">
        <f>""</f>
        <v/>
      </c>
      <c r="K180" s="1" t="str">
        <f>""</f>
        <v/>
      </c>
      <c r="L180" s="1" t="str">
        <f t="shared" si="43"/>
        <v>R</v>
      </c>
      <c r="M180" s="1" t="str">
        <f>""</f>
        <v/>
      </c>
      <c r="N180" s="1" t="str">
        <f t="shared" si="57"/>
        <v>Y</v>
      </c>
      <c r="O180" s="1" t="str">
        <f t="shared" si="54"/>
        <v>Y</v>
      </c>
      <c r="P180" s="1" t="str">
        <f t="shared" si="46"/>
        <v>Y</v>
      </c>
      <c r="Q180" s="1" t="str">
        <f t="shared" si="61"/>
        <v>A</v>
      </c>
    </row>
    <row r="181" spans="1:17" x14ac:dyDescent="0.3">
      <c r="A181" s="1" t="str">
        <f t="shared" si="42"/>
        <v>A</v>
      </c>
      <c r="B181" s="1" t="str">
        <f>"L106202"</f>
        <v>L106202</v>
      </c>
      <c r="C181" s="1" t="str">
        <f>"혈소판분포폭 증가"</f>
        <v>혈소판분포폭 증가</v>
      </c>
      <c r="D181" s="1" t="str">
        <f>"*** 참 고 *** 기준치를 벗어난 결과가 있습니다. 그러나 다른 검사결과들과 종합하여 판단할 때 병리적 소견으로 보기는 어렵습니다. 다만 신체적 이상이 있을 때는 내원하셔서 재검후 종합적 판단을 받는 것이 좋겠습니다."</f>
        <v>*** 참 고 *** 기준치를 벗어난 결과가 있습니다. 그러나 다른 검사결과들과 종합하여 판단할 때 병리적 소견으로 보기는 어렵습니다. 다만 신체적 이상이 있을 때는 내원하셔서 재검후 종합적 판단을 받는 것이 좋겠습니다.</v>
      </c>
      <c r="E181" s="1" t="str">
        <f>""</f>
        <v/>
      </c>
      <c r="F181" s="1" t="str">
        <f>""</f>
        <v/>
      </c>
      <c r="G181" s="1" t="str">
        <f>""</f>
        <v/>
      </c>
      <c r="H181" s="1" t="str">
        <f>""</f>
        <v/>
      </c>
      <c r="I181" s="1" t="str">
        <f>""</f>
        <v/>
      </c>
      <c r="J181" s="1" t="str">
        <f>""</f>
        <v/>
      </c>
      <c r="K181" s="1" t="str">
        <f>""</f>
        <v/>
      </c>
      <c r="L181" s="1" t="str">
        <f t="shared" si="43"/>
        <v>R</v>
      </c>
      <c r="M181" s="1" t="str">
        <f>""</f>
        <v/>
      </c>
      <c r="N181" s="1" t="str">
        <f t="shared" si="57"/>
        <v>Y</v>
      </c>
      <c r="O181" s="1" t="str">
        <f t="shared" si="54"/>
        <v>Y</v>
      </c>
      <c r="P181" s="1" t="str">
        <f t="shared" si="46"/>
        <v>Y</v>
      </c>
      <c r="Q181" s="1" t="str">
        <f t="shared" si="61"/>
        <v>A</v>
      </c>
    </row>
    <row r="182" spans="1:17" x14ac:dyDescent="0.3">
      <c r="A182" s="1" t="str">
        <f t="shared" si="42"/>
        <v>A</v>
      </c>
      <c r="B182" s="1" t="str">
        <f>"M0014"</f>
        <v>M0014</v>
      </c>
      <c r="C182" s="1" t="str">
        <f>"A형 간염 항체 양성"</f>
        <v>A형 간염 항체 양성</v>
      </c>
      <c r="D182" s="1" t="str">
        <f>"A형 간염 항체가 있습니다. A형 간염에 대한 면역이 형성된 상태입니다."</f>
        <v>A형 간염 항체가 있습니다. A형 간염에 대한 면역이 형성된 상태입니다.</v>
      </c>
      <c r="E182" s="1" t="str">
        <f>"WOK01"</f>
        <v>WOK01</v>
      </c>
      <c r="F182" s="1" t="str">
        <f>"PTM00"</f>
        <v>PTM00</v>
      </c>
      <c r="G182" s="1" t="str">
        <f>"DISB"</f>
        <v>DISB</v>
      </c>
      <c r="H182" s="1" t="str">
        <f>"REL05"</f>
        <v>REL05</v>
      </c>
      <c r="I182" s="1" t="str">
        <f>""</f>
        <v/>
      </c>
      <c r="J182" s="1" t="str">
        <f>"C05A"</f>
        <v>C05A</v>
      </c>
      <c r="K182" s="1" t="str">
        <f>"C05A"</f>
        <v>C05A</v>
      </c>
      <c r="L182" s="1" t="str">
        <f t="shared" si="43"/>
        <v>R</v>
      </c>
      <c r="M182" s="1" t="str">
        <f>"T02"</f>
        <v>T02</v>
      </c>
      <c r="N182" s="1" t="str">
        <f t="shared" si="57"/>
        <v>Y</v>
      </c>
      <c r="O182" s="1" t="str">
        <f t="shared" si="54"/>
        <v>Y</v>
      </c>
      <c r="P182" s="1" t="str">
        <f t="shared" si="46"/>
        <v>Y</v>
      </c>
      <c r="Q182" s="1" t="str">
        <f t="shared" si="61"/>
        <v>A</v>
      </c>
    </row>
    <row r="183" spans="1:17" x14ac:dyDescent="0.3">
      <c r="A183" s="1" t="str">
        <f t="shared" si="42"/>
        <v>A</v>
      </c>
      <c r="B183" s="1" t="str">
        <f>"M0045"</f>
        <v>M0045</v>
      </c>
      <c r="C183" s="1" t="str">
        <f>"기타 흉부질환(비활동성)"</f>
        <v>기타 흉부질환(비활동성)</v>
      </c>
      <c r="D183" s="1" t="str">
        <f>"흉부 방사선상 기타 흉부질환(비활동성)이 의심됩니다. 임상적 의의는 미미하나 증상이 있다면 내과적 추적검사 받으세요."</f>
        <v>흉부 방사선상 기타 흉부질환(비활동성)이 의심됩니다. 임상적 의의는 미미하나 증상이 있다면 내과적 추적검사 받으세요.</v>
      </c>
      <c r="E183" s="1" t="str">
        <f>"WOK02"</f>
        <v>WOK02</v>
      </c>
      <c r="F183" s="1" t="str">
        <f>"PTM01"</f>
        <v>PTM01</v>
      </c>
      <c r="G183" s="1" t="str">
        <f>"DISJ"</f>
        <v>DISJ</v>
      </c>
      <c r="H183" s="1" t="str">
        <f>""</f>
        <v/>
      </c>
      <c r="I183" s="1" t="str">
        <f>""</f>
        <v/>
      </c>
      <c r="J183" s="1" t="str">
        <f>"C02A"</f>
        <v>C02A</v>
      </c>
      <c r="K183" s="1" t="str">
        <f>"C02A"</f>
        <v>C02A</v>
      </c>
      <c r="L183" s="1" t="str">
        <f t="shared" si="43"/>
        <v>R</v>
      </c>
      <c r="M183" s="1" t="str">
        <f>"T04"</f>
        <v>T04</v>
      </c>
      <c r="N183" s="1" t="str">
        <f t="shared" si="57"/>
        <v>Y</v>
      </c>
      <c r="O183" s="1" t="str">
        <f t="shared" si="54"/>
        <v>Y</v>
      </c>
      <c r="P183" s="1" t="str">
        <f t="shared" si="46"/>
        <v>Y</v>
      </c>
      <c r="Q183" s="1" t="str">
        <f t="shared" si="61"/>
        <v>A</v>
      </c>
    </row>
    <row r="184" spans="1:17" x14ac:dyDescent="0.3">
      <c r="A184" s="1" t="str">
        <f t="shared" si="42"/>
        <v>A</v>
      </c>
      <c r="B184" s="1" t="str">
        <f>"M0099"</f>
        <v>M0099</v>
      </c>
      <c r="C184" s="1" t="str">
        <f>"대장게실증"</f>
        <v>대장게실증</v>
      </c>
      <c r="D184" s="1" t="str">
        <f>"대장내시경 검사상 게실이 관찰됩니다. 게실이란 장벽의 일부가 늘어나면서 작은 주머니처럼 오목하게 들어간 것을 말합니다. 발열을 동반한 복통이나 출혈 등의 증상이 없는 대장게실은 치료가 필요하지 않습니다. 의료기관을 방문하시어 진료 상담 받으시기 바랍니다."</f>
        <v>대장내시경 검사상 게실이 관찰됩니다. 게실이란 장벽의 일부가 늘어나면서 작은 주머니처럼 오목하게 들어간 것을 말합니다. 발열을 동반한 복통이나 출혈 등의 증상이 없는 대장게실은 치료가 필요하지 않습니다. 의료기관을 방문하시어 진료 상담 받으시기 바랍니다.</v>
      </c>
      <c r="E184" s="1" t="str">
        <f t="shared" ref="E184:E189" si="62">"WOK01"</f>
        <v>WOK01</v>
      </c>
      <c r="F184" s="1" t="str">
        <f>"PTF01"</f>
        <v>PTF01</v>
      </c>
      <c r="G184" s="1" t="str">
        <f>"DISK"</f>
        <v>DISK</v>
      </c>
      <c r="H184" s="1" t="str">
        <f>"REL33"</f>
        <v>REL33</v>
      </c>
      <c r="I184" s="1" t="str">
        <f>"HWFIRE01"</f>
        <v>HWFIRE01</v>
      </c>
      <c r="J184" s="1" t="str">
        <f>""</f>
        <v/>
      </c>
      <c r="K184" s="1" t="str">
        <f>""</f>
        <v/>
      </c>
      <c r="L184" s="1" t="str">
        <f t="shared" si="43"/>
        <v>R</v>
      </c>
      <c r="M184" s="1" t="str">
        <f>""</f>
        <v/>
      </c>
      <c r="N184" s="1" t="str">
        <f t="shared" si="57"/>
        <v>Y</v>
      </c>
      <c r="O184" s="1" t="str">
        <f t="shared" si="54"/>
        <v>Y</v>
      </c>
      <c r="P184" s="1" t="str">
        <f t="shared" si="46"/>
        <v>Y</v>
      </c>
      <c r="Q184" s="1" t="str">
        <f t="shared" si="61"/>
        <v>A</v>
      </c>
    </row>
    <row r="185" spans="1:17" x14ac:dyDescent="0.3">
      <c r="A185" s="1" t="str">
        <f t="shared" si="42"/>
        <v>A</v>
      </c>
      <c r="B185" s="1" t="str">
        <f>"M0111"</f>
        <v>M0111</v>
      </c>
      <c r="C185" s="1" t="str">
        <f>"수두 항체 양성"</f>
        <v>수두 항체 양성</v>
      </c>
      <c r="D185" s="1" t="s">
        <v>38</v>
      </c>
      <c r="E185" s="1" t="str">
        <f t="shared" si="62"/>
        <v>WOK01</v>
      </c>
      <c r="F185" s="1" t="str">
        <f>"PTF00"</f>
        <v>PTF00</v>
      </c>
      <c r="G185" s="1" t="str">
        <f>""</f>
        <v/>
      </c>
      <c r="H185" s="1" t="str">
        <f>""</f>
        <v/>
      </c>
      <c r="I185" s="1" t="str">
        <f>""</f>
        <v/>
      </c>
      <c r="J185" s="1" t="str">
        <f>"C05A"</f>
        <v>C05A</v>
      </c>
      <c r="K185" s="1" t="str">
        <f>"C05A"</f>
        <v>C05A</v>
      </c>
      <c r="L185" s="1" t="str">
        <f t="shared" si="43"/>
        <v>R</v>
      </c>
      <c r="M185" s="1" t="str">
        <f>""</f>
        <v/>
      </c>
      <c r="N185" s="1" t="str">
        <f t="shared" si="57"/>
        <v>Y</v>
      </c>
      <c r="O185" s="1" t="str">
        <f t="shared" si="54"/>
        <v>Y</v>
      </c>
      <c r="P185" s="1" t="str">
        <f t="shared" si="46"/>
        <v>Y</v>
      </c>
      <c r="Q185" s="1" t="str">
        <f t="shared" si="61"/>
        <v>A</v>
      </c>
    </row>
    <row r="186" spans="1:17" x14ac:dyDescent="0.3">
      <c r="A186" s="1" t="str">
        <f t="shared" si="42"/>
        <v>A</v>
      </c>
      <c r="B186" s="1" t="str">
        <f>"M0112"</f>
        <v>M0112</v>
      </c>
      <c r="C186" s="1" t="str">
        <f>"수두 항체 약양성"</f>
        <v>수두 항체 약양성</v>
      </c>
      <c r="D186" s="1" t="str">
        <f>"수두(Varicella zoster)에 대한 항체가 약양성입니다. 예방접종에 대한 상담을 받으시기 바랍니다."</f>
        <v>수두(Varicella zoster)에 대한 항체가 약양성입니다. 예방접종에 대한 상담을 받으시기 바랍니다.</v>
      </c>
      <c r="E186" s="1" t="str">
        <f t="shared" si="62"/>
        <v>WOK01</v>
      </c>
      <c r="F186" s="1" t="str">
        <f>"PTF00"</f>
        <v>PTF00</v>
      </c>
      <c r="G186" s="1" t="str">
        <f>""</f>
        <v/>
      </c>
      <c r="H186" s="1" t="str">
        <f>""</f>
        <v/>
      </c>
      <c r="I186" s="1" t="str">
        <f>""</f>
        <v/>
      </c>
      <c r="J186" s="1" t="str">
        <f>""</f>
        <v/>
      </c>
      <c r="K186" s="1" t="str">
        <f>""</f>
        <v/>
      </c>
      <c r="L186" s="1" t="str">
        <f t="shared" si="43"/>
        <v>R</v>
      </c>
      <c r="M186" s="1" t="str">
        <f>""</f>
        <v/>
      </c>
      <c r="N186" s="1" t="str">
        <f t="shared" si="57"/>
        <v>Y</v>
      </c>
      <c r="O186" s="1" t="str">
        <f t="shared" si="54"/>
        <v>Y</v>
      </c>
      <c r="P186" s="1" t="str">
        <f t="shared" si="46"/>
        <v>Y</v>
      </c>
      <c r="Q186" s="1" t="str">
        <f t="shared" si="61"/>
        <v>A</v>
      </c>
    </row>
    <row r="187" spans="1:17" x14ac:dyDescent="0.3">
      <c r="A187" s="1" t="str">
        <f t="shared" si="42"/>
        <v>A</v>
      </c>
      <c r="B187" s="1" t="str">
        <f>"M0116"</f>
        <v>M0116</v>
      </c>
      <c r="C187" s="1" t="str">
        <f>"척추증"</f>
        <v>척추증</v>
      </c>
      <c r="D187" s="1" t="s">
        <v>39</v>
      </c>
      <c r="E187" s="1" t="str">
        <f t="shared" si="62"/>
        <v>WOK01</v>
      </c>
      <c r="F187" s="1" t="str">
        <f>"PTM01"</f>
        <v>PTM01</v>
      </c>
      <c r="G187" s="1" t="str">
        <f>"DISM"</f>
        <v>DISM</v>
      </c>
      <c r="H187" s="1" t="str">
        <f>"REL22"</f>
        <v>REL22</v>
      </c>
      <c r="I187" s="1" t="str">
        <f>""</f>
        <v/>
      </c>
      <c r="J187" s="1" t="str">
        <f>""</f>
        <v/>
      </c>
      <c r="K187" s="1" t="str">
        <f>""</f>
        <v/>
      </c>
      <c r="L187" s="1" t="str">
        <f t="shared" si="43"/>
        <v>R</v>
      </c>
      <c r="M187" s="1" t="str">
        <f>"T19"</f>
        <v>T19</v>
      </c>
      <c r="N187" s="1" t="str">
        <f t="shared" si="57"/>
        <v>Y</v>
      </c>
      <c r="O187" s="1" t="str">
        <f t="shared" si="54"/>
        <v>Y</v>
      </c>
      <c r="P187" s="1" t="str">
        <f t="shared" si="46"/>
        <v>Y</v>
      </c>
      <c r="Q187" s="1" t="str">
        <f t="shared" si="61"/>
        <v>A</v>
      </c>
    </row>
    <row r="188" spans="1:17" x14ac:dyDescent="0.3">
      <c r="A188" s="1" t="str">
        <f t="shared" si="42"/>
        <v>A</v>
      </c>
      <c r="B188" s="1" t="str">
        <f>"M0117"</f>
        <v>M0117</v>
      </c>
      <c r="C188" s="1" t="str">
        <f>"정상(직접기입)"</f>
        <v>정상(직접기입)</v>
      </c>
      <c r="D188" s="1" t="str">
        <f>"흉부방사선검사 정상(직접기입)"</f>
        <v>흉부방사선검사 정상(직접기입)</v>
      </c>
      <c r="E188" s="1" t="str">
        <f t="shared" si="62"/>
        <v>WOK01</v>
      </c>
      <c r="F188" s="1" t="str">
        <f>"PTM01"</f>
        <v>PTM01</v>
      </c>
      <c r="G188" s="1" t="str">
        <f>"DISM"</f>
        <v>DISM</v>
      </c>
      <c r="H188" s="1" t="str">
        <f>"REL22"</f>
        <v>REL22</v>
      </c>
      <c r="I188" s="1" t="str">
        <f>""</f>
        <v/>
      </c>
      <c r="J188" s="1" t="str">
        <f>""</f>
        <v/>
      </c>
      <c r="K188" s="1" t="str">
        <f>""</f>
        <v/>
      </c>
      <c r="L188" s="1" t="str">
        <f t="shared" si="43"/>
        <v>R</v>
      </c>
      <c r="M188" s="1" t="str">
        <f>"T19"</f>
        <v>T19</v>
      </c>
      <c r="N188" s="1" t="str">
        <f t="shared" si="57"/>
        <v>Y</v>
      </c>
      <c r="O188" s="1" t="str">
        <f t="shared" si="54"/>
        <v>Y</v>
      </c>
      <c r="P188" s="1" t="str">
        <f t="shared" si="46"/>
        <v>Y</v>
      </c>
      <c r="Q188" s="1" t="str">
        <f t="shared" si="61"/>
        <v>A</v>
      </c>
    </row>
    <row r="189" spans="1:17" x14ac:dyDescent="0.3">
      <c r="A189" s="1" t="str">
        <f t="shared" si="42"/>
        <v>A</v>
      </c>
      <c r="B189" s="1" t="str">
        <f>"M0119"</f>
        <v>M0119</v>
      </c>
      <c r="C189" s="1" t="str">
        <f>"비활동성(정상)"</f>
        <v>비활동성(정상)</v>
      </c>
      <c r="D189" s="1" t="str">
        <f>"비활동성(정상) 직접 기입"</f>
        <v>비활동성(정상) 직접 기입</v>
      </c>
      <c r="E189" s="1" t="str">
        <f t="shared" si="62"/>
        <v>WOK01</v>
      </c>
      <c r="F189" s="1" t="str">
        <f>"PTM00"</f>
        <v>PTM00</v>
      </c>
      <c r="G189" s="1" t="str">
        <f>"DISJ"</f>
        <v>DISJ</v>
      </c>
      <c r="H189" s="1" t="str">
        <f>"REL02"</f>
        <v>REL02</v>
      </c>
      <c r="I189" s="1" t="str">
        <f>""</f>
        <v/>
      </c>
      <c r="J189" s="1" t="str">
        <f>"C40A"</f>
        <v>C40A</v>
      </c>
      <c r="K189" s="1" t="str">
        <f>"C00A"</f>
        <v>C00A</v>
      </c>
      <c r="L189" s="1" t="str">
        <f t="shared" si="43"/>
        <v>R</v>
      </c>
      <c r="M189" s="1" t="str">
        <f>"T04"</f>
        <v>T04</v>
      </c>
      <c r="N189" s="1" t="str">
        <f t="shared" si="57"/>
        <v>Y</v>
      </c>
      <c r="O189" s="1" t="str">
        <f t="shared" si="54"/>
        <v>Y</v>
      </c>
      <c r="P189" s="1" t="str">
        <f t="shared" si="46"/>
        <v>Y</v>
      </c>
      <c r="Q189" s="1" t="str">
        <f t="shared" si="61"/>
        <v>A</v>
      </c>
    </row>
    <row r="190" spans="1:17" x14ac:dyDescent="0.3">
      <c r="A190" s="1" t="str">
        <f t="shared" si="42"/>
        <v>A</v>
      </c>
      <c r="B190" s="1" t="str">
        <f>"M0121"</f>
        <v>M0121</v>
      </c>
      <c r="C190" s="1" t="str">
        <f>"당화혈색소 정상"</f>
        <v>당화혈색소 정상</v>
      </c>
      <c r="D190" s="1" t="s">
        <v>40</v>
      </c>
      <c r="E190" s="1" t="str">
        <f>""</f>
        <v/>
      </c>
      <c r="F190" s="1" t="str">
        <f>""</f>
        <v/>
      </c>
      <c r="G190" s="1" t="str">
        <f>""</f>
        <v/>
      </c>
      <c r="H190" s="1" t="str">
        <f>"REL07"</f>
        <v>REL07</v>
      </c>
      <c r="I190" s="1" t="str">
        <f>""</f>
        <v/>
      </c>
      <c r="J190" s="1" t="str">
        <f>""</f>
        <v/>
      </c>
      <c r="K190" s="1" t="str">
        <f>""</f>
        <v/>
      </c>
      <c r="L190" s="1" t="str">
        <f t="shared" si="43"/>
        <v>R</v>
      </c>
      <c r="M190" s="1" t="str">
        <f>"T211"</f>
        <v>T211</v>
      </c>
      <c r="N190" s="1" t="str">
        <f t="shared" si="57"/>
        <v>Y</v>
      </c>
      <c r="O190" s="1" t="str">
        <f t="shared" si="54"/>
        <v>Y</v>
      </c>
      <c r="P190" s="1" t="str">
        <f t="shared" si="46"/>
        <v>Y</v>
      </c>
      <c r="Q190" s="1" t="str">
        <f t="shared" si="61"/>
        <v>A</v>
      </c>
    </row>
    <row r="191" spans="1:17" x14ac:dyDescent="0.3">
      <c r="A191" s="1" t="str">
        <f t="shared" si="42"/>
        <v>A</v>
      </c>
      <c r="B191" s="1" t="str">
        <f>"MSD101"</f>
        <v>MSD101</v>
      </c>
      <c r="C191" s="1" t="str">
        <f>"근골격계 정상"</f>
        <v>근골격계 정상</v>
      </c>
      <c r="D191" s="1" t="str">
        <f>"특이소견 없습니다."</f>
        <v>특이소견 없습니다.</v>
      </c>
      <c r="E191" s="1" t="str">
        <f t="shared" ref="E191:E220" si="63">"WOK01"</f>
        <v>WOK01</v>
      </c>
      <c r="F191" s="1" t="str">
        <f>"PTM00"</f>
        <v>PTM00</v>
      </c>
      <c r="G191" s="1" t="str">
        <f>"DISM"</f>
        <v>DISM</v>
      </c>
      <c r="H191" s="1" t="str">
        <f>"REL22"</f>
        <v>REL22</v>
      </c>
      <c r="I191" s="1" t="str">
        <f>""</f>
        <v/>
      </c>
      <c r="J191" s="1" t="str">
        <f>"C43A"</f>
        <v>C43A</v>
      </c>
      <c r="K191" s="1" t="str">
        <f>"C43A"</f>
        <v>C43A</v>
      </c>
      <c r="L191" s="1" t="str">
        <f t="shared" si="43"/>
        <v>R</v>
      </c>
      <c r="M191" s="1" t="str">
        <f>""</f>
        <v/>
      </c>
      <c r="N191" s="1" t="str">
        <f t="shared" si="57"/>
        <v>Y</v>
      </c>
      <c r="O191" s="1" t="str">
        <f t="shared" si="54"/>
        <v>Y</v>
      </c>
      <c r="P191" s="1" t="str">
        <f t="shared" si="46"/>
        <v>Y</v>
      </c>
      <c r="Q191" s="1" t="str">
        <f t="shared" si="61"/>
        <v>A</v>
      </c>
    </row>
    <row r="192" spans="1:17" x14ac:dyDescent="0.3">
      <c r="A192" s="1" t="str">
        <f t="shared" si="42"/>
        <v>A</v>
      </c>
      <c r="B192" s="1" t="str">
        <f>"MSD201"</f>
        <v>MSD201</v>
      </c>
      <c r="C192" s="1" t="str">
        <f>"경미한 근골격계 증상"</f>
        <v>경미한 근골격계 증상</v>
      </c>
      <c r="D192" s="1" t="str">
        <f>"경미한 근골격계증상이 있으나 별 문제는 아닙니다."</f>
        <v>경미한 근골격계증상이 있으나 별 문제는 아닙니다.</v>
      </c>
      <c r="E192" s="1" t="str">
        <f t="shared" si="63"/>
        <v>WOK01</v>
      </c>
      <c r="F192" s="1" t="str">
        <f>"PTM00"</f>
        <v>PTM00</v>
      </c>
      <c r="G192" s="1" t="str">
        <f>"DISM"</f>
        <v>DISM</v>
      </c>
      <c r="H192" s="1" t="str">
        <f>"REL22"</f>
        <v>REL22</v>
      </c>
      <c r="I192" s="1" t="str">
        <f>""</f>
        <v/>
      </c>
      <c r="J192" s="1" t="str">
        <f>"C43A"</f>
        <v>C43A</v>
      </c>
      <c r="K192" s="1" t="str">
        <f>"C43A"</f>
        <v>C43A</v>
      </c>
      <c r="L192" s="1" t="str">
        <f t="shared" si="43"/>
        <v>R</v>
      </c>
      <c r="M192" s="1" t="str">
        <f>""</f>
        <v/>
      </c>
      <c r="N192" s="1" t="str">
        <f t="shared" si="57"/>
        <v>Y</v>
      </c>
      <c r="O192" s="1" t="str">
        <f t="shared" si="54"/>
        <v>Y</v>
      </c>
      <c r="P192" s="1" t="str">
        <f t="shared" si="46"/>
        <v>Y</v>
      </c>
      <c r="Q192" s="1" t="str">
        <f t="shared" si="61"/>
        <v>A</v>
      </c>
    </row>
    <row r="193" spans="1:17" x14ac:dyDescent="0.3">
      <c r="A193" s="1" t="str">
        <f t="shared" si="42"/>
        <v>A</v>
      </c>
      <c r="B193" s="1" t="str">
        <f>"NJ0527"</f>
        <v>NJ0527</v>
      </c>
      <c r="C193" s="1" t="str">
        <f>"수면장애 관리(야간작업)"</f>
        <v>수면장애 관리(야간작업)</v>
      </c>
      <c r="D193" s="1" t="s">
        <v>41</v>
      </c>
      <c r="E193" s="1" t="str">
        <f t="shared" si="63"/>
        <v>WOK01</v>
      </c>
      <c r="F193" s="1" t="str">
        <f>"PTM00"</f>
        <v>PTM00</v>
      </c>
      <c r="G193" s="1" t="str">
        <f>"DIS600"</f>
        <v>DIS600</v>
      </c>
      <c r="H193" s="1" t="str">
        <f>"REL21"</f>
        <v>REL21</v>
      </c>
      <c r="I193" s="1" t="str">
        <f>""</f>
        <v/>
      </c>
      <c r="J193" s="1" t="str">
        <f>"N01A"</f>
        <v>N01A</v>
      </c>
      <c r="K193" s="1" t="str">
        <f>"N01A"</f>
        <v>N01A</v>
      </c>
      <c r="L193" s="1" t="str">
        <f t="shared" si="43"/>
        <v>R</v>
      </c>
      <c r="M193" s="1" t="str">
        <f>"T061"</f>
        <v>T061</v>
      </c>
      <c r="N193" s="1" t="str">
        <f t="shared" si="57"/>
        <v>Y</v>
      </c>
      <c r="O193" s="1" t="str">
        <f t="shared" si="54"/>
        <v>Y</v>
      </c>
      <c r="P193" s="1" t="str">
        <f t="shared" si="46"/>
        <v>Y</v>
      </c>
      <c r="Q193" s="1" t="str">
        <f t="shared" si="61"/>
        <v>A</v>
      </c>
    </row>
    <row r="194" spans="1:17" x14ac:dyDescent="0.3">
      <c r="A194" s="1" t="str">
        <f t="shared" ref="A194:A230" si="64">"A"</f>
        <v>A</v>
      </c>
      <c r="B194" s="1" t="str">
        <f>"OSP101"</f>
        <v>OSP101</v>
      </c>
      <c r="C194" s="1" t="str">
        <f>"정상(골밀도검사)"</f>
        <v>정상(골밀도검사)</v>
      </c>
      <c r="D194" s="1" t="str">
        <f>"골밀도 검사상 정상 입니다."</f>
        <v>골밀도 검사상 정상 입니다.</v>
      </c>
      <c r="E194" s="1" t="str">
        <f t="shared" si="63"/>
        <v>WOK01</v>
      </c>
      <c r="F194" s="1" t="str">
        <f>""</f>
        <v/>
      </c>
      <c r="G194" s="1" t="str">
        <f>"DISM"</f>
        <v>DISM</v>
      </c>
      <c r="H194" s="1" t="str">
        <f>"REL32"</f>
        <v>REL32</v>
      </c>
      <c r="I194" s="1" t="str">
        <f>""</f>
        <v/>
      </c>
      <c r="J194" s="1" t="str">
        <f>"C43A"</f>
        <v>C43A</v>
      </c>
      <c r="K194" s="1" t="str">
        <f>"C43A"</f>
        <v>C43A</v>
      </c>
      <c r="L194" s="1" t="str">
        <f t="shared" ref="L194:L257" si="65">"R"</f>
        <v>R</v>
      </c>
      <c r="M194" s="1" t="str">
        <f>""</f>
        <v/>
      </c>
      <c r="N194" s="1" t="str">
        <f t="shared" si="57"/>
        <v>Y</v>
      </c>
      <c r="O194" s="1" t="str">
        <f t="shared" si="54"/>
        <v>Y</v>
      </c>
      <c r="P194" s="1" t="str">
        <f t="shared" si="46"/>
        <v>Y</v>
      </c>
      <c r="Q194" s="1" t="str">
        <f t="shared" si="61"/>
        <v>A</v>
      </c>
    </row>
    <row r="195" spans="1:17" x14ac:dyDescent="0.3">
      <c r="A195" s="1" t="str">
        <f t="shared" si="64"/>
        <v>A</v>
      </c>
      <c r="B195" s="1" t="str">
        <f>"OSPLT0"</f>
        <v>OSPLT0</v>
      </c>
      <c r="C195" s="1" t="str">
        <f>"골밀도 정상"</f>
        <v>골밀도 정상</v>
      </c>
      <c r="D195" s="1" t="str">
        <f>"골밀도검사상 정상 소견입니다."</f>
        <v>골밀도검사상 정상 소견입니다.</v>
      </c>
      <c r="E195" s="1" t="str">
        <f t="shared" si="63"/>
        <v>WOK01</v>
      </c>
      <c r="F195" s="1" t="str">
        <f>""</f>
        <v/>
      </c>
      <c r="G195" s="1" t="str">
        <f>"DISM"</f>
        <v>DISM</v>
      </c>
      <c r="H195" s="1" t="str">
        <f>"REL32"</f>
        <v>REL32</v>
      </c>
      <c r="I195" s="1" t="str">
        <f>""</f>
        <v/>
      </c>
      <c r="J195" s="1" t="str">
        <f>"C43A"</f>
        <v>C43A</v>
      </c>
      <c r="K195" s="1" t="str">
        <f>"C43A"</f>
        <v>C43A</v>
      </c>
      <c r="L195" s="1" t="str">
        <f t="shared" si="65"/>
        <v>R</v>
      </c>
      <c r="M195" s="1" t="str">
        <f>""</f>
        <v/>
      </c>
      <c r="N195" s="1" t="str">
        <f t="shared" si="57"/>
        <v>Y</v>
      </c>
      <c r="O195" s="1" t="str">
        <f t="shared" si="54"/>
        <v>Y</v>
      </c>
      <c r="P195" s="1" t="str">
        <f t="shared" si="46"/>
        <v>Y</v>
      </c>
      <c r="Q195" s="1" t="str">
        <f t="shared" si="61"/>
        <v>A</v>
      </c>
    </row>
    <row r="196" spans="1:17" x14ac:dyDescent="0.3">
      <c r="A196" s="1" t="str">
        <f t="shared" si="64"/>
        <v>A</v>
      </c>
      <c r="B196" s="1" t="str">
        <f>"OSTE1"</f>
        <v>OSTE1</v>
      </c>
      <c r="C196" s="1" t="str">
        <f>"골밀도 검사 정상"</f>
        <v>골밀도 검사 정상</v>
      </c>
      <c r="D196" s="1" t="str">
        <f>"골밀도 검사 결과는 정상입니다. 다음 주기 정기검진 통해 확인하시기 바랍니다."</f>
        <v>골밀도 검사 결과는 정상입니다. 다음 주기 정기검진 통해 확인하시기 바랍니다.</v>
      </c>
      <c r="E196" s="1" t="str">
        <f t="shared" si="63"/>
        <v>WOK01</v>
      </c>
      <c r="F196" s="1" t="str">
        <f>"PTM00"</f>
        <v>PTM00</v>
      </c>
      <c r="G196" s="1" t="str">
        <f>"DISE"</f>
        <v>DISE</v>
      </c>
      <c r="H196" s="1" t="str">
        <f>"REL23"</f>
        <v>REL23</v>
      </c>
      <c r="I196" s="1" t="str">
        <f>""</f>
        <v/>
      </c>
      <c r="J196" s="1" t="str">
        <f>""</f>
        <v/>
      </c>
      <c r="K196" s="1" t="str">
        <f>""</f>
        <v/>
      </c>
      <c r="L196" s="1" t="str">
        <f t="shared" si="65"/>
        <v>R</v>
      </c>
      <c r="M196" s="1" t="str">
        <f>"T21"</f>
        <v>T21</v>
      </c>
      <c r="N196" s="1" t="str">
        <f t="shared" si="57"/>
        <v>Y</v>
      </c>
      <c r="O196" s="1" t="str">
        <f t="shared" si="54"/>
        <v>Y</v>
      </c>
      <c r="P196" s="1" t="str">
        <f t="shared" si="46"/>
        <v>Y</v>
      </c>
      <c r="Q196" s="1" t="str">
        <f t="shared" si="61"/>
        <v>A</v>
      </c>
    </row>
    <row r="197" spans="1:17" x14ac:dyDescent="0.3">
      <c r="A197" s="1" t="str">
        <f t="shared" si="64"/>
        <v>A</v>
      </c>
      <c r="B197" s="1" t="str">
        <f>"OSTEO1"</f>
        <v>OSTEO1</v>
      </c>
      <c r="C197" s="1" t="str">
        <f>"골밀도 검사 정상"</f>
        <v>골밀도 검사 정상</v>
      </c>
      <c r="D197" s="1" t="s">
        <v>42</v>
      </c>
      <c r="E197" s="1" t="str">
        <f t="shared" si="63"/>
        <v>WOK01</v>
      </c>
      <c r="F197" s="1" t="str">
        <f>"PTM00"</f>
        <v>PTM00</v>
      </c>
      <c r="G197" s="1" t="str">
        <f>"DISE"</f>
        <v>DISE</v>
      </c>
      <c r="H197" s="1" t="str">
        <f>"REL32"</f>
        <v>REL32</v>
      </c>
      <c r="I197" s="1" t="str">
        <f>""</f>
        <v/>
      </c>
      <c r="J197" s="1" t="str">
        <f>"C35A"</f>
        <v>C35A</v>
      </c>
      <c r="K197" s="1" t="str">
        <f>"C35A"</f>
        <v>C35A</v>
      </c>
      <c r="L197" s="1" t="str">
        <f t="shared" si="65"/>
        <v>R</v>
      </c>
      <c r="M197" s="1" t="str">
        <f>"T21"</f>
        <v>T21</v>
      </c>
      <c r="N197" s="1" t="str">
        <f t="shared" si="57"/>
        <v>Y</v>
      </c>
      <c r="O197" s="1" t="str">
        <f t="shared" si="54"/>
        <v>Y</v>
      </c>
      <c r="P197" s="1" t="str">
        <f t="shared" si="46"/>
        <v>Y</v>
      </c>
      <c r="Q197" s="1" t="str">
        <f t="shared" si="61"/>
        <v>A</v>
      </c>
    </row>
    <row r="198" spans="1:17" x14ac:dyDescent="0.3">
      <c r="A198" s="1" t="str">
        <f t="shared" si="64"/>
        <v>A</v>
      </c>
      <c r="B198" s="1" t="str">
        <f>"PBS001"</f>
        <v>PBS001</v>
      </c>
      <c r="C198" s="1" t="str">
        <f>"말초혈액도말검사 정상"</f>
        <v>말초혈액도말검사 정상</v>
      </c>
      <c r="D198" s="1" t="str">
        <f>"말초혈액도말검사에서 정상소견입니다."</f>
        <v>말초혈액도말검사에서 정상소견입니다.</v>
      </c>
      <c r="E198" s="1" t="str">
        <f t="shared" si="63"/>
        <v>WOK01</v>
      </c>
      <c r="F198" s="1" t="str">
        <f>"PTM00"</f>
        <v>PTM00</v>
      </c>
      <c r="G198" s="1" t="str">
        <f>""</f>
        <v/>
      </c>
      <c r="H198" s="1" t="str">
        <f>"REL12"</f>
        <v>REL12</v>
      </c>
      <c r="I198" s="1" t="str">
        <f>""</f>
        <v/>
      </c>
      <c r="J198" s="1" t="str">
        <f>"C00A"</f>
        <v>C00A</v>
      </c>
      <c r="K198" s="1" t="str">
        <f>""</f>
        <v/>
      </c>
      <c r="L198" s="1" t="str">
        <f t="shared" si="65"/>
        <v>R</v>
      </c>
      <c r="M198" s="1" t="str">
        <f>"T01"</f>
        <v>T01</v>
      </c>
      <c r="N198" s="1" t="str">
        <f t="shared" si="57"/>
        <v>Y</v>
      </c>
      <c r="O198" s="1" t="str">
        <f t="shared" ref="O198:O224" si="66">"Y"</f>
        <v>Y</v>
      </c>
      <c r="P198" s="1" t="str">
        <f t="shared" si="46"/>
        <v>Y</v>
      </c>
      <c r="Q198" s="1" t="str">
        <f t="shared" si="61"/>
        <v>A</v>
      </c>
    </row>
    <row r="199" spans="1:17" x14ac:dyDescent="0.3">
      <c r="A199" s="1" t="str">
        <f t="shared" si="64"/>
        <v>A</v>
      </c>
      <c r="B199" s="1" t="str">
        <f>"PRE001"</f>
        <v>PRE001</v>
      </c>
      <c r="C199" s="1" t="str">
        <f>"배치 가능"</f>
        <v>배치 가능</v>
      </c>
      <c r="D199" s="1" t="str">
        <f>"상기 유해인자를 취급하는 업무에 배치 가능합니다. 건강보호를 위해 적절한 보호구를 착용하고 근무하시기 바랍니다."</f>
        <v>상기 유해인자를 취급하는 업무에 배치 가능합니다. 건강보호를 위해 적절한 보호구를 착용하고 근무하시기 바랍니다.</v>
      </c>
      <c r="E199" s="1" t="str">
        <f t="shared" si="63"/>
        <v>WOK01</v>
      </c>
      <c r="F199" s="1" t="str">
        <f>"PTM02"</f>
        <v>PTM02</v>
      </c>
      <c r="G199" s="1" t="str">
        <f>""</f>
        <v/>
      </c>
      <c r="H199" s="1" t="str">
        <f>""</f>
        <v/>
      </c>
      <c r="I199" s="1" t="str">
        <f>""</f>
        <v/>
      </c>
      <c r="J199" s="1" t="str">
        <f>"S01A"</f>
        <v>S01A</v>
      </c>
      <c r="K199" s="1" t="str">
        <f>"S01A"</f>
        <v>S01A</v>
      </c>
      <c r="L199" s="1" t="str">
        <f t="shared" si="65"/>
        <v>R</v>
      </c>
      <c r="M199" s="1" t="str">
        <f>""</f>
        <v/>
      </c>
      <c r="N199" s="1" t="str">
        <f t="shared" si="57"/>
        <v>Y</v>
      </c>
      <c r="O199" s="1" t="str">
        <f t="shared" si="66"/>
        <v>Y</v>
      </c>
      <c r="P199" s="1" t="str">
        <f t="shared" si="46"/>
        <v>Y</v>
      </c>
      <c r="Q199" s="1" t="str">
        <f t="shared" si="61"/>
        <v>A</v>
      </c>
    </row>
    <row r="200" spans="1:17" x14ac:dyDescent="0.3">
      <c r="A200" s="1" t="str">
        <f t="shared" si="64"/>
        <v>A</v>
      </c>
      <c r="B200" s="1" t="str">
        <f>"PRE00111"</f>
        <v>PRE00111</v>
      </c>
      <c r="C200" s="1" t="str">
        <f>"배치 가능"</f>
        <v>배치 가능</v>
      </c>
      <c r="D200" s="1" t="str">
        <f>"상기 유해인자를 취급하는 업무에 배치 가능합니다. 건강보호를 위해 적절한 보호구를 착용하고 근무하시기 바랍니다."</f>
        <v>상기 유해인자를 취급하는 업무에 배치 가능합니다. 건강보호를 위해 적절한 보호구를 착용하고 근무하시기 바랍니다.</v>
      </c>
      <c r="E200" s="1" t="str">
        <f t="shared" si="63"/>
        <v>WOK01</v>
      </c>
      <c r="F200" s="1" t="str">
        <f>""</f>
        <v/>
      </c>
      <c r="G200" s="1" t="str">
        <f>""</f>
        <v/>
      </c>
      <c r="H200" s="1" t="str">
        <f>""</f>
        <v/>
      </c>
      <c r="I200" s="1" t="str">
        <f>""</f>
        <v/>
      </c>
      <c r="J200" s="1" t="str">
        <f>""</f>
        <v/>
      </c>
      <c r="K200" s="1" t="str">
        <f>""</f>
        <v/>
      </c>
      <c r="L200" s="1" t="str">
        <f t="shared" si="65"/>
        <v>R</v>
      </c>
      <c r="M200" s="1" t="str">
        <f>""</f>
        <v/>
      </c>
      <c r="N200" s="1" t="str">
        <f>"N"</f>
        <v>N</v>
      </c>
      <c r="O200" s="1" t="str">
        <f t="shared" si="66"/>
        <v>Y</v>
      </c>
      <c r="P200" s="1" t="str">
        <f t="shared" si="46"/>
        <v>Y</v>
      </c>
      <c r="Q200" s="1" t="str">
        <f t="shared" si="61"/>
        <v>A</v>
      </c>
    </row>
    <row r="201" spans="1:17" x14ac:dyDescent="0.3">
      <c r="A201" s="1" t="str">
        <f t="shared" si="64"/>
        <v>A</v>
      </c>
      <c r="B201" s="1" t="str">
        <f>"PRE0033"</f>
        <v>PRE0033</v>
      </c>
      <c r="C201" s="1" t="str">
        <f>"배치 가능 (야간작업-여)"</f>
        <v>배치 가능 (야간작업-여)</v>
      </c>
      <c r="D201" s="1" t="s">
        <v>43</v>
      </c>
      <c r="E201" s="1" t="str">
        <f t="shared" si="63"/>
        <v>WOK01</v>
      </c>
      <c r="F201" s="1" t="str">
        <f>"PTM03"</f>
        <v>PTM03</v>
      </c>
      <c r="G201" s="1" t="str">
        <f>"DIS600"</f>
        <v>DIS600</v>
      </c>
      <c r="H201" s="1" t="str">
        <f>"REL21"</f>
        <v>REL21</v>
      </c>
      <c r="I201" s="1" t="str">
        <f>""</f>
        <v/>
      </c>
      <c r="J201" s="1" t="str">
        <f>"N01A"</f>
        <v>N01A</v>
      </c>
      <c r="K201" s="1" t="str">
        <f>"N01A"</f>
        <v>N01A</v>
      </c>
      <c r="L201" s="1" t="str">
        <f t="shared" si="65"/>
        <v>R</v>
      </c>
      <c r="M201" s="1" t="str">
        <f>"T061"</f>
        <v>T061</v>
      </c>
      <c r="N201" s="1" t="str">
        <f t="shared" ref="N201:N232" si="67">"Y"</f>
        <v>Y</v>
      </c>
      <c r="O201" s="1" t="str">
        <f t="shared" si="66"/>
        <v>Y</v>
      </c>
      <c r="P201" s="1" t="str">
        <f t="shared" si="46"/>
        <v>Y</v>
      </c>
      <c r="Q201" s="1" t="str">
        <f t="shared" si="61"/>
        <v>A</v>
      </c>
    </row>
    <row r="202" spans="1:17" x14ac:dyDescent="0.3">
      <c r="A202" s="1" t="str">
        <f t="shared" si="64"/>
        <v>A</v>
      </c>
      <c r="B202" s="1" t="str">
        <f>"PRE00333"</f>
        <v>PRE00333</v>
      </c>
      <c r="C202" s="1" t="str">
        <f>"배치 가능 (야간작업-남)"</f>
        <v>배치 가능 (야간작업-남)</v>
      </c>
      <c r="D202" s="1" t="s">
        <v>44</v>
      </c>
      <c r="E202" s="1" t="str">
        <f t="shared" si="63"/>
        <v>WOK01</v>
      </c>
      <c r="F202" s="1" t="str">
        <f>"PTM03"</f>
        <v>PTM03</v>
      </c>
      <c r="G202" s="1" t="str">
        <f>"DIS600"</f>
        <v>DIS600</v>
      </c>
      <c r="H202" s="1" t="str">
        <f>"REL21"</f>
        <v>REL21</v>
      </c>
      <c r="I202" s="1" t="str">
        <f>""</f>
        <v/>
      </c>
      <c r="J202" s="1" t="str">
        <f>"N01A"</f>
        <v>N01A</v>
      </c>
      <c r="K202" s="1" t="str">
        <f>"N01A"</f>
        <v>N01A</v>
      </c>
      <c r="L202" s="1" t="str">
        <f t="shared" si="65"/>
        <v>R</v>
      </c>
      <c r="M202" s="1" t="str">
        <f>"T061"</f>
        <v>T061</v>
      </c>
      <c r="N202" s="1" t="str">
        <f t="shared" si="67"/>
        <v>Y</v>
      </c>
      <c r="O202" s="1" t="str">
        <f t="shared" si="66"/>
        <v>Y</v>
      </c>
      <c r="P202" s="1" t="str">
        <f t="shared" ref="P202:P265" si="68">"Y"</f>
        <v>Y</v>
      </c>
      <c r="Q202" s="1" t="str">
        <f t="shared" si="61"/>
        <v>A</v>
      </c>
    </row>
    <row r="203" spans="1:17" x14ac:dyDescent="0.3">
      <c r="A203" s="1" t="str">
        <f t="shared" si="64"/>
        <v>A</v>
      </c>
      <c r="B203" s="1" t="str">
        <f>"PRE004"</f>
        <v>PRE004</v>
      </c>
      <c r="C203" s="1" t="str">
        <f>"배치 가능 (소음작업)"</f>
        <v>배치 가능 (소음작업)</v>
      </c>
      <c r="D203" s="1" t="str">
        <f>"청력검사는 정상소견입니다. 소음이 발생하는 작업을 할 때 청력보호에 유의하여 작업하시기 바랍니다."</f>
        <v>청력검사는 정상소견입니다. 소음이 발생하는 작업을 할 때 청력보호에 유의하여 작업하시기 바랍니다.</v>
      </c>
      <c r="E203" s="1" t="str">
        <f t="shared" si="63"/>
        <v>WOK01</v>
      </c>
      <c r="F203" s="1" t="str">
        <f>"PTM03"</f>
        <v>PTM03</v>
      </c>
      <c r="G203" s="1" t="str">
        <f>"DISH"</f>
        <v>DISH</v>
      </c>
      <c r="H203" s="1" t="str">
        <f>"REL19"</f>
        <v>REL19</v>
      </c>
      <c r="I203" s="1" t="str">
        <f>"01"</f>
        <v>01</v>
      </c>
      <c r="J203" s="1" t="str">
        <f t="shared" ref="J203:K205" si="69">"C38A"</f>
        <v>C38A</v>
      </c>
      <c r="K203" s="1" t="str">
        <f t="shared" si="69"/>
        <v>C38A</v>
      </c>
      <c r="L203" s="1" t="str">
        <f t="shared" si="65"/>
        <v>R</v>
      </c>
      <c r="M203" s="1" t="str">
        <f>"T10"</f>
        <v>T10</v>
      </c>
      <c r="N203" s="1" t="str">
        <f t="shared" si="67"/>
        <v>Y</v>
      </c>
      <c r="O203" s="1" t="str">
        <f t="shared" si="66"/>
        <v>Y</v>
      </c>
      <c r="P203" s="1" t="str">
        <f t="shared" si="68"/>
        <v>Y</v>
      </c>
      <c r="Q203" s="1" t="str">
        <f t="shared" si="61"/>
        <v>A</v>
      </c>
    </row>
    <row r="204" spans="1:17" x14ac:dyDescent="0.3">
      <c r="A204" s="1" t="str">
        <f t="shared" si="64"/>
        <v>A</v>
      </c>
      <c r="B204" s="1" t="str">
        <f>"PRE0041"</f>
        <v>PRE0041</v>
      </c>
      <c r="C204" s="1" t="str">
        <f>"배치 가능 (소음작업)"</f>
        <v>배치 가능 (소음작업)</v>
      </c>
      <c r="D204" s="1" t="str">
        <f>"우측 귀 청력검사는 정상소견입니다. 소음이 발생하는 작업을 할 때 청력보호에 유의하여 작업하시기 바랍니다."</f>
        <v>우측 귀 청력검사는 정상소견입니다. 소음이 발생하는 작업을 할 때 청력보호에 유의하여 작업하시기 바랍니다.</v>
      </c>
      <c r="E204" s="1" t="str">
        <f t="shared" si="63"/>
        <v>WOK01</v>
      </c>
      <c r="F204" s="1" t="str">
        <f>"PTM03"</f>
        <v>PTM03</v>
      </c>
      <c r="G204" s="1" t="str">
        <f>"DISH"</f>
        <v>DISH</v>
      </c>
      <c r="H204" s="1" t="str">
        <f>"REL19"</f>
        <v>REL19</v>
      </c>
      <c r="I204" s="1" t="str">
        <f>"01"</f>
        <v>01</v>
      </c>
      <c r="J204" s="1" t="str">
        <f t="shared" si="69"/>
        <v>C38A</v>
      </c>
      <c r="K204" s="1" t="str">
        <f t="shared" si="69"/>
        <v>C38A</v>
      </c>
      <c r="L204" s="1" t="str">
        <f t="shared" si="65"/>
        <v>R</v>
      </c>
      <c r="M204" s="1" t="str">
        <f>"T10"</f>
        <v>T10</v>
      </c>
      <c r="N204" s="1" t="str">
        <f t="shared" si="67"/>
        <v>Y</v>
      </c>
      <c r="O204" s="1" t="str">
        <f t="shared" si="66"/>
        <v>Y</v>
      </c>
      <c r="P204" s="1" t="str">
        <f t="shared" si="68"/>
        <v>Y</v>
      </c>
      <c r="Q204" s="1" t="str">
        <f>"R"</f>
        <v>R</v>
      </c>
    </row>
    <row r="205" spans="1:17" x14ac:dyDescent="0.3">
      <c r="A205" s="1" t="str">
        <f t="shared" si="64"/>
        <v>A</v>
      </c>
      <c r="B205" s="1" t="str">
        <f>"PRE0042"</f>
        <v>PRE0042</v>
      </c>
      <c r="C205" s="1" t="str">
        <f>"배치 가능 (소음작업)"</f>
        <v>배치 가능 (소음작업)</v>
      </c>
      <c r="D205" s="1" t="str">
        <f>"좌측 귀 청력검사는 정상소견입니다. 소음이 발생하는 작업을 할 때 청력보호에 유의하여 작업하시기 바랍니다."</f>
        <v>좌측 귀 청력검사는 정상소견입니다. 소음이 발생하는 작업을 할 때 청력보호에 유의하여 작업하시기 바랍니다.</v>
      </c>
      <c r="E205" s="1" t="str">
        <f t="shared" si="63"/>
        <v>WOK01</v>
      </c>
      <c r="F205" s="1" t="str">
        <f>"PTM03"</f>
        <v>PTM03</v>
      </c>
      <c r="G205" s="1" t="str">
        <f>"DISH"</f>
        <v>DISH</v>
      </c>
      <c r="H205" s="1" t="str">
        <f>"REL19"</f>
        <v>REL19</v>
      </c>
      <c r="I205" s="1" t="str">
        <f>"01"</f>
        <v>01</v>
      </c>
      <c r="J205" s="1" t="str">
        <f t="shared" si="69"/>
        <v>C38A</v>
      </c>
      <c r="K205" s="1" t="str">
        <f t="shared" si="69"/>
        <v>C38A</v>
      </c>
      <c r="L205" s="1" t="str">
        <f t="shared" si="65"/>
        <v>R</v>
      </c>
      <c r="M205" s="1" t="str">
        <f>"T10"</f>
        <v>T10</v>
      </c>
      <c r="N205" s="1" t="str">
        <f t="shared" si="67"/>
        <v>Y</v>
      </c>
      <c r="O205" s="1" t="str">
        <f t="shared" si="66"/>
        <v>Y</v>
      </c>
      <c r="P205" s="1" t="str">
        <f t="shared" si="68"/>
        <v>Y</v>
      </c>
      <c r="Q205" s="1" t="str">
        <f>"L"</f>
        <v>L</v>
      </c>
    </row>
    <row r="206" spans="1:17" x14ac:dyDescent="0.3">
      <c r="A206" s="1" t="str">
        <f t="shared" si="64"/>
        <v>A</v>
      </c>
      <c r="B206" s="1" t="str">
        <f>"PRE010"</f>
        <v>PRE010</v>
      </c>
      <c r="C206" s="1" t="str">
        <f>"업무 가능"</f>
        <v>업무 가능</v>
      </c>
      <c r="D206" s="1" t="str">
        <f>"검진 결과에 의하면 현재의 건강상태는 일반 업무 수행에 지장이 없습니다."</f>
        <v>검진 결과에 의하면 현재의 건강상태는 일반 업무 수행에 지장이 없습니다.</v>
      </c>
      <c r="E206" s="1" t="str">
        <f t="shared" si="63"/>
        <v>WOK01</v>
      </c>
      <c r="F206" s="1" t="str">
        <f>"PTM00"</f>
        <v>PTM00</v>
      </c>
      <c r="G206" s="1" t="str">
        <f>""</f>
        <v/>
      </c>
      <c r="H206" s="1" t="str">
        <f>""</f>
        <v/>
      </c>
      <c r="I206" s="1" t="str">
        <f>""</f>
        <v/>
      </c>
      <c r="J206" s="1" t="str">
        <f>"S01A"</f>
        <v>S01A</v>
      </c>
      <c r="K206" s="1" t="str">
        <f>"S01A"</f>
        <v>S01A</v>
      </c>
      <c r="L206" s="1" t="str">
        <f t="shared" si="65"/>
        <v>R</v>
      </c>
      <c r="M206" s="1" t="str">
        <f>""</f>
        <v/>
      </c>
      <c r="N206" s="1" t="str">
        <f t="shared" si="67"/>
        <v>Y</v>
      </c>
      <c r="O206" s="1" t="str">
        <f t="shared" si="66"/>
        <v>Y</v>
      </c>
      <c r="P206" s="1" t="str">
        <f t="shared" si="68"/>
        <v>Y</v>
      </c>
      <c r="Q206" s="1" t="str">
        <f t="shared" ref="Q206:Q229" si="70">"A"</f>
        <v>A</v>
      </c>
    </row>
    <row r="207" spans="1:17" x14ac:dyDescent="0.3">
      <c r="A207" s="1" t="str">
        <f t="shared" si="64"/>
        <v>A</v>
      </c>
      <c r="B207" s="1" t="str">
        <f>"PTU101"</f>
        <v>PTU101</v>
      </c>
      <c r="C207" s="1" t="str">
        <f>"신장기능검사상 정상(일시적 단백뇨)"</f>
        <v>신장기능검사상 정상(일시적 단백뇨)</v>
      </c>
      <c r="D207" s="1" t="str">
        <f>"소변시험지검사(1차검사)상 보였던 단백뇨는 일시적 단백뇨(병적소견아님)로 추정됩니다. 신장기능은 정상입니다."</f>
        <v>소변시험지검사(1차검사)상 보였던 단백뇨는 일시적 단백뇨(병적소견아님)로 추정됩니다. 신장기능은 정상입니다.</v>
      </c>
      <c r="E207" s="1" t="str">
        <f t="shared" si="63"/>
        <v>WOK01</v>
      </c>
      <c r="F207" s="1" t="str">
        <f>"PTM00"</f>
        <v>PTM00</v>
      </c>
      <c r="G207" s="1" t="str">
        <f>"DISN"</f>
        <v>DISN</v>
      </c>
      <c r="H207" s="1" t="str">
        <f>"REL08"</f>
        <v>REL08</v>
      </c>
      <c r="I207" s="1" t="str">
        <f>""</f>
        <v/>
      </c>
      <c r="J207" s="1" t="str">
        <f t="shared" ref="J207:K209" si="71">"C07A"</f>
        <v>C07A</v>
      </c>
      <c r="K207" s="1" t="str">
        <f t="shared" si="71"/>
        <v>C07A</v>
      </c>
      <c r="L207" s="1" t="str">
        <f t="shared" si="65"/>
        <v>R</v>
      </c>
      <c r="M207" s="1" t="str">
        <f>"T05"</f>
        <v>T05</v>
      </c>
      <c r="N207" s="1" t="str">
        <f t="shared" si="67"/>
        <v>Y</v>
      </c>
      <c r="O207" s="1" t="str">
        <f t="shared" si="66"/>
        <v>Y</v>
      </c>
      <c r="P207" s="1" t="str">
        <f t="shared" si="68"/>
        <v>Y</v>
      </c>
      <c r="Q207" s="1" t="str">
        <f t="shared" si="70"/>
        <v>A</v>
      </c>
    </row>
    <row r="208" spans="1:17" x14ac:dyDescent="0.3">
      <c r="A208" s="1" t="str">
        <f t="shared" si="64"/>
        <v>A</v>
      </c>
      <c r="B208" s="1" t="str">
        <f>"PTU502"</f>
        <v>PTU502</v>
      </c>
      <c r="C208" s="1" t="str">
        <f>"신장질환 정상"</f>
        <v>신장질환 정상</v>
      </c>
      <c r="D208" s="1" t="str">
        <f>"2차 검진 상 정상입니다."</f>
        <v>2차 검진 상 정상입니다.</v>
      </c>
      <c r="E208" s="1" t="str">
        <f t="shared" si="63"/>
        <v>WOK01</v>
      </c>
      <c r="F208" s="1" t="str">
        <f>"PTM00"</f>
        <v>PTM00</v>
      </c>
      <c r="G208" s="1" t="str">
        <f>"DISN"</f>
        <v>DISN</v>
      </c>
      <c r="H208" s="1" t="str">
        <f>"REL08"</f>
        <v>REL08</v>
      </c>
      <c r="I208" s="1" t="str">
        <f>""</f>
        <v/>
      </c>
      <c r="J208" s="1" t="str">
        <f t="shared" si="71"/>
        <v>C07A</v>
      </c>
      <c r="K208" s="1" t="str">
        <f t="shared" si="71"/>
        <v>C07A</v>
      </c>
      <c r="L208" s="1" t="str">
        <f t="shared" si="65"/>
        <v>R</v>
      </c>
      <c r="M208" s="1" t="str">
        <f>"T05"</f>
        <v>T05</v>
      </c>
      <c r="N208" s="1" t="str">
        <f t="shared" si="67"/>
        <v>Y</v>
      </c>
      <c r="O208" s="1" t="str">
        <f t="shared" si="66"/>
        <v>Y</v>
      </c>
      <c r="P208" s="1" t="str">
        <f t="shared" si="68"/>
        <v>Y</v>
      </c>
      <c r="Q208" s="1" t="str">
        <f t="shared" si="70"/>
        <v>A</v>
      </c>
    </row>
    <row r="209" spans="1:17" x14ac:dyDescent="0.3">
      <c r="A209" s="1" t="str">
        <f t="shared" si="64"/>
        <v>A</v>
      </c>
      <c r="B209" s="1" t="str">
        <f>"PTULT1"</f>
        <v>PTULT1</v>
      </c>
      <c r="C209" s="1" t="str">
        <f>"경미한 단백뇨(약양성)"</f>
        <v>경미한 단백뇨(약양성)</v>
      </c>
      <c r="D209" s="1" t="str">
        <f>"경미한 단백뇨는 과로나 심한 운동시 일시적으로 나타날 수 있습니다. 주기적 체크하세요"</f>
        <v>경미한 단백뇨는 과로나 심한 운동시 일시적으로 나타날 수 있습니다. 주기적 체크하세요</v>
      </c>
      <c r="E209" s="1" t="str">
        <f t="shared" si="63"/>
        <v>WOK01</v>
      </c>
      <c r="F209" s="1" t="str">
        <f>"PTM00"</f>
        <v>PTM00</v>
      </c>
      <c r="G209" s="1" t="str">
        <f>"DISN"</f>
        <v>DISN</v>
      </c>
      <c r="H209" s="1" t="str">
        <f>"REL08"</f>
        <v>REL08</v>
      </c>
      <c r="I209" s="1" t="str">
        <f>""</f>
        <v/>
      </c>
      <c r="J209" s="1" t="str">
        <f t="shared" si="71"/>
        <v>C07A</v>
      </c>
      <c r="K209" s="1" t="str">
        <f t="shared" si="71"/>
        <v>C07A</v>
      </c>
      <c r="L209" s="1" t="str">
        <f t="shared" si="65"/>
        <v>R</v>
      </c>
      <c r="M209" s="1" t="str">
        <f>"T05"</f>
        <v>T05</v>
      </c>
      <c r="N209" s="1" t="str">
        <f t="shared" si="67"/>
        <v>Y</v>
      </c>
      <c r="O209" s="1" t="str">
        <f t="shared" si="66"/>
        <v>Y</v>
      </c>
      <c r="P209" s="1" t="str">
        <f t="shared" si="68"/>
        <v>Y</v>
      </c>
      <c r="Q209" s="1" t="str">
        <f t="shared" si="70"/>
        <v>A</v>
      </c>
    </row>
    <row r="210" spans="1:17" x14ac:dyDescent="0.3">
      <c r="A210" s="1" t="str">
        <f t="shared" si="64"/>
        <v>A</v>
      </c>
      <c r="B210" s="1" t="str">
        <f>"PUL101"</f>
        <v>PUL101</v>
      </c>
      <c r="C210" s="1" t="str">
        <f>"늑골골절 치유흔적"</f>
        <v>늑골골절 치유흔적</v>
      </c>
      <c r="D210" s="1" t="str">
        <f>"골절 흔적"</f>
        <v>골절 흔적</v>
      </c>
      <c r="E210" s="1" t="str">
        <f t="shared" si="63"/>
        <v>WOK01</v>
      </c>
      <c r="F210" s="1" t="str">
        <f>"PTM00"</f>
        <v>PTM00</v>
      </c>
      <c r="G210" s="1" t="str">
        <f t="shared" ref="G210:G218" si="72">"DISJ"</f>
        <v>DISJ</v>
      </c>
      <c r="H210" s="1" t="str">
        <f t="shared" ref="H210:H216" si="73">"REL02"</f>
        <v>REL02</v>
      </c>
      <c r="I210" s="1" t="str">
        <f>""</f>
        <v/>
      </c>
      <c r="J210" s="1" t="str">
        <f t="shared" ref="J210:K212" si="74">"C02A"</f>
        <v>C02A</v>
      </c>
      <c r="K210" s="1" t="str">
        <f t="shared" si="74"/>
        <v>C02A</v>
      </c>
      <c r="L210" s="1" t="str">
        <f t="shared" si="65"/>
        <v>R</v>
      </c>
      <c r="M210" s="1" t="str">
        <f t="shared" ref="M210:M218" si="75">"T04"</f>
        <v>T04</v>
      </c>
      <c r="N210" s="1" t="str">
        <f t="shared" si="67"/>
        <v>Y</v>
      </c>
      <c r="O210" s="1" t="str">
        <f t="shared" si="66"/>
        <v>Y</v>
      </c>
      <c r="P210" s="1" t="str">
        <f t="shared" si="68"/>
        <v>Y</v>
      </c>
      <c r="Q210" s="1" t="str">
        <f t="shared" si="70"/>
        <v>A</v>
      </c>
    </row>
    <row r="211" spans="1:17" x14ac:dyDescent="0.3">
      <c r="A211" s="1" t="str">
        <f t="shared" si="64"/>
        <v>A</v>
      </c>
      <c r="B211" s="1" t="str">
        <f>"PUL201"</f>
        <v>PUL201</v>
      </c>
      <c r="C211" s="1" t="str">
        <f>"임파절석회화"</f>
        <v>임파절석회화</v>
      </c>
      <c r="D211" s="1" t="str">
        <f>"병적소견은 아닙니다."</f>
        <v>병적소견은 아닙니다.</v>
      </c>
      <c r="E211" s="1" t="str">
        <f t="shared" si="63"/>
        <v>WOK01</v>
      </c>
      <c r="F211" s="1" t="str">
        <f>"PTM01"</f>
        <v>PTM01</v>
      </c>
      <c r="G211" s="1" t="str">
        <f t="shared" si="72"/>
        <v>DISJ</v>
      </c>
      <c r="H211" s="1" t="str">
        <f t="shared" si="73"/>
        <v>REL02</v>
      </c>
      <c r="I211" s="1" t="str">
        <f>""</f>
        <v/>
      </c>
      <c r="J211" s="1" t="str">
        <f t="shared" si="74"/>
        <v>C02A</v>
      </c>
      <c r="K211" s="1" t="str">
        <f t="shared" si="74"/>
        <v>C02A</v>
      </c>
      <c r="L211" s="1" t="str">
        <f t="shared" si="65"/>
        <v>R</v>
      </c>
      <c r="M211" s="1" t="str">
        <f t="shared" si="75"/>
        <v>T04</v>
      </c>
      <c r="N211" s="1" t="str">
        <f t="shared" si="67"/>
        <v>Y</v>
      </c>
      <c r="O211" s="1" t="str">
        <f t="shared" si="66"/>
        <v>Y</v>
      </c>
      <c r="P211" s="1" t="str">
        <f t="shared" si="68"/>
        <v>Y</v>
      </c>
      <c r="Q211" s="1" t="str">
        <f t="shared" si="70"/>
        <v>A</v>
      </c>
    </row>
    <row r="212" spans="1:17" x14ac:dyDescent="0.3">
      <c r="A212" s="1" t="str">
        <f t="shared" si="64"/>
        <v>A</v>
      </c>
      <c r="B212" s="1" t="str">
        <f>"PUL202T"</f>
        <v>PUL202T</v>
      </c>
      <c r="C212" s="1" t="str">
        <f>"수술 흔적"</f>
        <v>수술 흔적</v>
      </c>
      <c r="D212" s="1" t="str">
        <f>"과거의 흉부(가슴) 수술 흔적이 보입니다."</f>
        <v>과거의 흉부(가슴) 수술 흔적이 보입니다.</v>
      </c>
      <c r="E212" s="1" t="str">
        <f t="shared" si="63"/>
        <v>WOK01</v>
      </c>
      <c r="F212" s="1" t="str">
        <f t="shared" ref="F212:F218" si="76">"PTM00"</f>
        <v>PTM00</v>
      </c>
      <c r="G212" s="1" t="str">
        <f t="shared" si="72"/>
        <v>DISJ</v>
      </c>
      <c r="H212" s="1" t="str">
        <f t="shared" si="73"/>
        <v>REL02</v>
      </c>
      <c r="I212" s="1" t="str">
        <f>""</f>
        <v/>
      </c>
      <c r="J212" s="1" t="str">
        <f t="shared" si="74"/>
        <v>C02A</v>
      </c>
      <c r="K212" s="1" t="str">
        <f t="shared" si="74"/>
        <v>C02A</v>
      </c>
      <c r="L212" s="1" t="str">
        <f t="shared" si="65"/>
        <v>R</v>
      </c>
      <c r="M212" s="1" t="str">
        <f t="shared" si="75"/>
        <v>T04</v>
      </c>
      <c r="N212" s="1" t="str">
        <f t="shared" si="67"/>
        <v>Y</v>
      </c>
      <c r="O212" s="1" t="str">
        <f t="shared" si="66"/>
        <v>Y</v>
      </c>
      <c r="P212" s="1" t="str">
        <f t="shared" si="68"/>
        <v>Y</v>
      </c>
      <c r="Q212" s="1" t="str">
        <f t="shared" si="70"/>
        <v>A</v>
      </c>
    </row>
    <row r="213" spans="1:17" x14ac:dyDescent="0.3">
      <c r="A213" s="1" t="str">
        <f t="shared" si="64"/>
        <v>A</v>
      </c>
      <c r="B213" s="1" t="str">
        <f>"PUL206"</f>
        <v>PUL206</v>
      </c>
      <c r="C213" s="1" t="str">
        <f>"늑골기형"</f>
        <v>늑골기형</v>
      </c>
      <c r="D213" s="1" t="str">
        <f>"병적인 소견이 아닙니다."</f>
        <v>병적인 소견이 아닙니다.</v>
      </c>
      <c r="E213" s="1" t="str">
        <f t="shared" si="63"/>
        <v>WOK01</v>
      </c>
      <c r="F213" s="1" t="str">
        <f t="shared" si="76"/>
        <v>PTM00</v>
      </c>
      <c r="G213" s="1" t="str">
        <f t="shared" si="72"/>
        <v>DISJ</v>
      </c>
      <c r="H213" s="1" t="str">
        <f t="shared" si="73"/>
        <v>REL02</v>
      </c>
      <c r="I213" s="1" t="str">
        <f>""</f>
        <v/>
      </c>
      <c r="J213" s="1" t="str">
        <f>"C43A"</f>
        <v>C43A</v>
      </c>
      <c r="K213" s="1" t="str">
        <f>"C43A"</f>
        <v>C43A</v>
      </c>
      <c r="L213" s="1" t="str">
        <f t="shared" si="65"/>
        <v>R</v>
      </c>
      <c r="M213" s="1" t="str">
        <f t="shared" si="75"/>
        <v>T04</v>
      </c>
      <c r="N213" s="1" t="str">
        <f t="shared" si="67"/>
        <v>Y</v>
      </c>
      <c r="O213" s="1" t="str">
        <f t="shared" si="66"/>
        <v>Y</v>
      </c>
      <c r="P213" s="1" t="str">
        <f t="shared" si="68"/>
        <v>Y</v>
      </c>
      <c r="Q213" s="1" t="str">
        <f t="shared" si="70"/>
        <v>A</v>
      </c>
    </row>
    <row r="214" spans="1:17" x14ac:dyDescent="0.3">
      <c r="A214" s="1" t="str">
        <f t="shared" si="64"/>
        <v>A</v>
      </c>
      <c r="B214" s="1" t="str">
        <f>"PUL208"</f>
        <v>PUL208</v>
      </c>
      <c r="C214" s="1" t="str">
        <f>"흉곽성형 수술후 상태"</f>
        <v>흉곽성형 수술후 상태</v>
      </c>
      <c r="D214" s="1" t="str">
        <f>"흉곽성형 수술후 상태로 건강상 문제는 없습니다."</f>
        <v>흉곽성형 수술후 상태로 건강상 문제는 없습니다.</v>
      </c>
      <c r="E214" s="1" t="str">
        <f t="shared" si="63"/>
        <v>WOK01</v>
      </c>
      <c r="F214" s="1" t="str">
        <f t="shared" si="76"/>
        <v>PTM00</v>
      </c>
      <c r="G214" s="1" t="str">
        <f t="shared" si="72"/>
        <v>DISJ</v>
      </c>
      <c r="H214" s="1" t="str">
        <f t="shared" si="73"/>
        <v>REL02</v>
      </c>
      <c r="I214" s="1" t="str">
        <f>""</f>
        <v/>
      </c>
      <c r="J214" s="1" t="str">
        <f t="shared" ref="J214:K216" si="77">"C02A"</f>
        <v>C02A</v>
      </c>
      <c r="K214" s="1" t="str">
        <f t="shared" si="77"/>
        <v>C02A</v>
      </c>
      <c r="L214" s="1" t="str">
        <f t="shared" si="65"/>
        <v>R</v>
      </c>
      <c r="M214" s="1" t="str">
        <f t="shared" si="75"/>
        <v>T04</v>
      </c>
      <c r="N214" s="1" t="str">
        <f t="shared" si="67"/>
        <v>Y</v>
      </c>
      <c r="O214" s="1" t="str">
        <f t="shared" si="66"/>
        <v>Y</v>
      </c>
      <c r="P214" s="1" t="str">
        <f t="shared" si="68"/>
        <v>Y</v>
      </c>
      <c r="Q214" s="1" t="str">
        <f t="shared" si="70"/>
        <v>A</v>
      </c>
    </row>
    <row r="215" spans="1:17" x14ac:dyDescent="0.3">
      <c r="A215" s="1" t="str">
        <f t="shared" si="64"/>
        <v>A</v>
      </c>
      <c r="B215" s="1" t="str">
        <f>"PUL209"</f>
        <v>PUL209</v>
      </c>
      <c r="C215" s="1" t="str">
        <f>"유방절제 수술후 상태"</f>
        <v>유방절제 수술후 상태</v>
      </c>
      <c r="D215" s="1" t="str">
        <f>"유방절제수술후 상태로 건강상에는 문제가 없습니다."</f>
        <v>유방절제수술후 상태로 건강상에는 문제가 없습니다.</v>
      </c>
      <c r="E215" s="1" t="str">
        <f t="shared" si="63"/>
        <v>WOK01</v>
      </c>
      <c r="F215" s="1" t="str">
        <f t="shared" si="76"/>
        <v>PTM00</v>
      </c>
      <c r="G215" s="1" t="str">
        <f t="shared" si="72"/>
        <v>DISJ</v>
      </c>
      <c r="H215" s="1" t="str">
        <f t="shared" si="73"/>
        <v>REL02</v>
      </c>
      <c r="I215" s="1" t="str">
        <f>""</f>
        <v/>
      </c>
      <c r="J215" s="1" t="str">
        <f t="shared" si="77"/>
        <v>C02A</v>
      </c>
      <c r="K215" s="1" t="str">
        <f t="shared" si="77"/>
        <v>C02A</v>
      </c>
      <c r="L215" s="1" t="str">
        <f t="shared" si="65"/>
        <v>R</v>
      </c>
      <c r="M215" s="1" t="str">
        <f t="shared" si="75"/>
        <v>T04</v>
      </c>
      <c r="N215" s="1" t="str">
        <f t="shared" si="67"/>
        <v>Y</v>
      </c>
      <c r="O215" s="1" t="str">
        <f t="shared" si="66"/>
        <v>Y</v>
      </c>
      <c r="P215" s="1" t="str">
        <f t="shared" si="68"/>
        <v>Y</v>
      </c>
      <c r="Q215" s="1" t="str">
        <f t="shared" si="70"/>
        <v>A</v>
      </c>
    </row>
    <row r="216" spans="1:17" x14ac:dyDescent="0.3">
      <c r="A216" s="1" t="str">
        <f t="shared" si="64"/>
        <v>A</v>
      </c>
      <c r="B216" s="1" t="str">
        <f>"PUL210"</f>
        <v>PUL210</v>
      </c>
      <c r="C216" s="1" t="str">
        <f>"늑골절제수술상태"</f>
        <v>늑골절제수술상태</v>
      </c>
      <c r="D216" s="1" t="str">
        <f>"치유흔적으로 건강상 문제는 없습니다."</f>
        <v>치유흔적으로 건강상 문제는 없습니다.</v>
      </c>
      <c r="E216" s="1" t="str">
        <f t="shared" si="63"/>
        <v>WOK01</v>
      </c>
      <c r="F216" s="1" t="str">
        <f t="shared" si="76"/>
        <v>PTM00</v>
      </c>
      <c r="G216" s="1" t="str">
        <f t="shared" si="72"/>
        <v>DISJ</v>
      </c>
      <c r="H216" s="1" t="str">
        <f t="shared" si="73"/>
        <v>REL02</v>
      </c>
      <c r="I216" s="1" t="str">
        <f>""</f>
        <v/>
      </c>
      <c r="J216" s="1" t="str">
        <f t="shared" si="77"/>
        <v>C02A</v>
      </c>
      <c r="K216" s="1" t="str">
        <f t="shared" si="77"/>
        <v>C02A</v>
      </c>
      <c r="L216" s="1" t="str">
        <f t="shared" si="65"/>
        <v>R</v>
      </c>
      <c r="M216" s="1" t="str">
        <f t="shared" si="75"/>
        <v>T04</v>
      </c>
      <c r="N216" s="1" t="str">
        <f t="shared" si="67"/>
        <v>Y</v>
      </c>
      <c r="O216" s="1" t="str">
        <f t="shared" si="66"/>
        <v>Y</v>
      </c>
      <c r="P216" s="1" t="str">
        <f t="shared" si="68"/>
        <v>Y</v>
      </c>
      <c r="Q216" s="1" t="str">
        <f t="shared" si="70"/>
        <v>A</v>
      </c>
    </row>
    <row r="217" spans="1:17" x14ac:dyDescent="0.3">
      <c r="A217" s="1" t="str">
        <f t="shared" si="64"/>
        <v>A</v>
      </c>
      <c r="B217" s="1" t="str">
        <f>"PUL211"</f>
        <v>PUL211</v>
      </c>
      <c r="C217" s="1" t="str">
        <f>"결핵종 음영"</f>
        <v>결핵종 음영</v>
      </c>
      <c r="D217" s="1" t="s">
        <v>45</v>
      </c>
      <c r="E217" s="1" t="str">
        <f t="shared" si="63"/>
        <v>WOK01</v>
      </c>
      <c r="F217" s="1" t="str">
        <f t="shared" si="76"/>
        <v>PTM00</v>
      </c>
      <c r="G217" s="1" t="str">
        <f t="shared" si="72"/>
        <v>DISJ</v>
      </c>
      <c r="H217" s="1" t="str">
        <f>"REL01"</f>
        <v>REL01</v>
      </c>
      <c r="I217" s="1" t="str">
        <f>""</f>
        <v/>
      </c>
      <c r="J217" s="1" t="str">
        <f>"C01A"</f>
        <v>C01A</v>
      </c>
      <c r="K217" s="1" t="str">
        <f>"C01A"</f>
        <v>C01A</v>
      </c>
      <c r="L217" s="1" t="str">
        <f t="shared" si="65"/>
        <v>R</v>
      </c>
      <c r="M217" s="1" t="str">
        <f t="shared" si="75"/>
        <v>T04</v>
      </c>
      <c r="N217" s="1" t="str">
        <f t="shared" si="67"/>
        <v>Y</v>
      </c>
      <c r="O217" s="1" t="str">
        <f t="shared" si="66"/>
        <v>Y</v>
      </c>
      <c r="P217" s="1" t="str">
        <f t="shared" si="68"/>
        <v>Y</v>
      </c>
      <c r="Q217" s="1" t="str">
        <f t="shared" si="70"/>
        <v>A</v>
      </c>
    </row>
    <row r="218" spans="1:17" x14ac:dyDescent="0.3">
      <c r="A218" s="1" t="str">
        <f t="shared" si="64"/>
        <v>A</v>
      </c>
      <c r="B218" s="1" t="str">
        <f>"PUL216"</f>
        <v>PUL216</v>
      </c>
      <c r="C218" s="1" t="str">
        <f>"골(연골)양성종양(단순 X-선상)"</f>
        <v>골(연골)양성종양(단순 X-선상)</v>
      </c>
      <c r="D218" s="1" t="str">
        <f>"흔히 골섬이라고 불리는 것으로 병적소견이 아니니 걱정하지 마세요. 다만 갑자기 커지거나 통증 등의 증상을 동반시 정밀검사 요합니다."</f>
        <v>흔히 골섬이라고 불리는 것으로 병적소견이 아니니 걱정하지 마세요. 다만 갑자기 커지거나 통증 등의 증상을 동반시 정밀검사 요합니다.</v>
      </c>
      <c r="E218" s="1" t="str">
        <f t="shared" si="63"/>
        <v>WOK01</v>
      </c>
      <c r="F218" s="1" t="str">
        <f t="shared" si="76"/>
        <v>PTM00</v>
      </c>
      <c r="G218" s="1" t="str">
        <f t="shared" si="72"/>
        <v>DISJ</v>
      </c>
      <c r="H218" s="1" t="str">
        <f>"REL02"</f>
        <v>REL02</v>
      </c>
      <c r="I218" s="1" t="str">
        <f>""</f>
        <v/>
      </c>
      <c r="J218" s="1" t="str">
        <f>"C02A"</f>
        <v>C02A</v>
      </c>
      <c r="K218" s="1" t="str">
        <f>"C02A"</f>
        <v>C02A</v>
      </c>
      <c r="L218" s="1" t="str">
        <f t="shared" si="65"/>
        <v>R</v>
      </c>
      <c r="M218" s="1" t="str">
        <f t="shared" si="75"/>
        <v>T04</v>
      </c>
      <c r="N218" s="1" t="str">
        <f t="shared" si="67"/>
        <v>Y</v>
      </c>
      <c r="O218" s="1" t="str">
        <f t="shared" si="66"/>
        <v>Y</v>
      </c>
      <c r="P218" s="1" t="str">
        <f t="shared" si="68"/>
        <v>Y</v>
      </c>
      <c r="Q218" s="1" t="str">
        <f t="shared" si="70"/>
        <v>A</v>
      </c>
    </row>
    <row r="219" spans="1:17" x14ac:dyDescent="0.3">
      <c r="A219" s="1" t="str">
        <f t="shared" si="64"/>
        <v>A</v>
      </c>
      <c r="B219" s="1" t="str">
        <f>"PUL327"</f>
        <v>PUL327</v>
      </c>
      <c r="C219" s="1" t="str">
        <f>"우측 대동맥"</f>
        <v>우측 대동맥</v>
      </c>
      <c r="D219" s="1" t="str">
        <f>"보통 좌측에 위치하는 대동맥이 우측에 보입니다. 이 자체로는 질병이 아니므로 문제는 없으나 증상이 있는 경우에는 심장내과 진료를 받아보시기 바랍니다."</f>
        <v>보통 좌측에 위치하는 대동맥이 우측에 보입니다. 이 자체로는 질병이 아니므로 문제는 없으나 증상이 있는 경우에는 심장내과 진료를 받아보시기 바랍니다.</v>
      </c>
      <c r="E219" s="1" t="str">
        <f t="shared" si="63"/>
        <v>WOK01</v>
      </c>
      <c r="F219" s="1" t="str">
        <f>"PTM01"</f>
        <v>PTM01</v>
      </c>
      <c r="G219" s="1" t="str">
        <f>"DISI"</f>
        <v>DISI</v>
      </c>
      <c r="H219" s="1" t="str">
        <f>"REL06"</f>
        <v>REL06</v>
      </c>
      <c r="I219" s="1" t="str">
        <f>""</f>
        <v/>
      </c>
      <c r="J219" s="1" t="str">
        <f>"C39C"</f>
        <v>C39C</v>
      </c>
      <c r="K219" s="1" t="str">
        <f>"C39C"</f>
        <v>C39C</v>
      </c>
      <c r="L219" s="1" t="str">
        <f t="shared" si="65"/>
        <v>R</v>
      </c>
      <c r="M219" s="1" t="str">
        <f>"T03"</f>
        <v>T03</v>
      </c>
      <c r="N219" s="1" t="str">
        <f t="shared" si="67"/>
        <v>Y</v>
      </c>
      <c r="O219" s="1" t="str">
        <f t="shared" si="66"/>
        <v>Y</v>
      </c>
      <c r="P219" s="1" t="str">
        <f t="shared" si="68"/>
        <v>Y</v>
      </c>
      <c r="Q219" s="1" t="str">
        <f t="shared" si="70"/>
        <v>A</v>
      </c>
    </row>
    <row r="220" spans="1:17" x14ac:dyDescent="0.3">
      <c r="A220" s="1" t="str">
        <f t="shared" si="64"/>
        <v>A</v>
      </c>
      <c r="B220" s="1" t="str">
        <f>"PUL327H"</f>
        <v>PUL327H</v>
      </c>
      <c r="C220" s="1" t="str">
        <f>"우측 대동맥"</f>
        <v>우측 대동맥</v>
      </c>
      <c r="D220" s="1" t="str">
        <f>"보통 좌측에 위치하는 대동맥이 우측에 보입니다. 이 자체로는 질병이 아니므로 문제는 없으나 증상이 있는 경우에는 심장내과 진료를 받아보시기 바랍니다."</f>
        <v>보통 좌측에 위치하는 대동맥이 우측에 보입니다. 이 자체로는 질병이 아니므로 문제는 없으나 증상이 있는 경우에는 심장내과 진료를 받아보시기 바랍니다.</v>
      </c>
      <c r="E220" s="1" t="str">
        <f t="shared" si="63"/>
        <v>WOK01</v>
      </c>
      <c r="F220" s="1" t="str">
        <f>"PTM01"</f>
        <v>PTM01</v>
      </c>
      <c r="G220" s="1" t="str">
        <f>"DISI"</f>
        <v>DISI</v>
      </c>
      <c r="H220" s="1" t="str">
        <f>"REL06"</f>
        <v>REL06</v>
      </c>
      <c r="I220" s="1" t="str">
        <f>""</f>
        <v/>
      </c>
      <c r="J220" s="1" t="str">
        <f>"C39C"</f>
        <v>C39C</v>
      </c>
      <c r="K220" s="1" t="str">
        <f>"C39C"</f>
        <v>C39C</v>
      </c>
      <c r="L220" s="1" t="str">
        <f t="shared" si="65"/>
        <v>R</v>
      </c>
      <c r="M220" s="1" t="str">
        <f>"T03"</f>
        <v>T03</v>
      </c>
      <c r="N220" s="1" t="str">
        <f t="shared" si="67"/>
        <v>Y</v>
      </c>
      <c r="O220" s="1" t="str">
        <f t="shared" si="66"/>
        <v>Y</v>
      </c>
      <c r="P220" s="1" t="str">
        <f t="shared" si="68"/>
        <v>Y</v>
      </c>
      <c r="Q220" s="1" t="str">
        <f t="shared" si="70"/>
        <v>A</v>
      </c>
    </row>
    <row r="221" spans="1:17" x14ac:dyDescent="0.3">
      <c r="A221" s="1" t="str">
        <f t="shared" si="64"/>
        <v>A</v>
      </c>
      <c r="B221" s="1" t="str">
        <f>"RAFJA01"</f>
        <v>RAFJA01</v>
      </c>
      <c r="C221" s="1" t="str">
        <f>"정상(류마티스인자)"</f>
        <v>정상(류마티스인자)</v>
      </c>
      <c r="D221" s="1" t="str">
        <f>"류마티스 검사(RF) 결과 이상이 없습니다."</f>
        <v>류마티스 검사(RF) 결과 이상이 없습니다.</v>
      </c>
      <c r="E221" s="1" t="str">
        <f>""</f>
        <v/>
      </c>
      <c r="F221" s="1" t="str">
        <f>""</f>
        <v/>
      </c>
      <c r="G221" s="1" t="str">
        <f>""</f>
        <v/>
      </c>
      <c r="H221" s="1" t="str">
        <f>""</f>
        <v/>
      </c>
      <c r="I221" s="1" t="str">
        <f>""</f>
        <v/>
      </c>
      <c r="J221" s="1" t="str">
        <f>""</f>
        <v/>
      </c>
      <c r="K221" s="1" t="str">
        <f>""</f>
        <v/>
      </c>
      <c r="L221" s="1" t="str">
        <f t="shared" si="65"/>
        <v>R</v>
      </c>
      <c r="M221" s="1" t="str">
        <f>""</f>
        <v/>
      </c>
      <c r="N221" s="1" t="str">
        <f t="shared" si="67"/>
        <v>Y</v>
      </c>
      <c r="O221" s="1" t="str">
        <f t="shared" si="66"/>
        <v>Y</v>
      </c>
      <c r="P221" s="1" t="str">
        <f t="shared" si="68"/>
        <v>Y</v>
      </c>
      <c r="Q221" s="1" t="str">
        <f t="shared" si="70"/>
        <v>A</v>
      </c>
    </row>
    <row r="222" spans="1:17" x14ac:dyDescent="0.3">
      <c r="A222" s="1" t="str">
        <f t="shared" si="64"/>
        <v>A</v>
      </c>
      <c r="B222" s="1" t="str">
        <f>"RU4091"</f>
        <v>RU4091</v>
      </c>
      <c r="C222" s="1" t="str">
        <f>"전립선 초음파 정상"</f>
        <v>전립선 초음파 정상</v>
      </c>
      <c r="D222" s="1" t="str">
        <f>"전립선 초음파 검사상 정상소견입니다. 주기적인 비뇨기과 진료를 받아 보시기 바랍니다."</f>
        <v>전립선 초음파 검사상 정상소견입니다. 주기적인 비뇨기과 진료를 받아 보시기 바랍니다.</v>
      </c>
      <c r="E222" s="1" t="str">
        <f>""</f>
        <v/>
      </c>
      <c r="F222" s="1" t="str">
        <f>""</f>
        <v/>
      </c>
      <c r="G222" s="1" t="str">
        <f>""</f>
        <v/>
      </c>
      <c r="H222" s="1" t="str">
        <f>""</f>
        <v/>
      </c>
      <c r="I222" s="1" t="str">
        <f>""</f>
        <v/>
      </c>
      <c r="J222" s="1" t="str">
        <f>""</f>
        <v/>
      </c>
      <c r="K222" s="1" t="str">
        <f>""</f>
        <v/>
      </c>
      <c r="L222" s="1" t="str">
        <f t="shared" si="65"/>
        <v>R</v>
      </c>
      <c r="M222" s="1" t="str">
        <f>""</f>
        <v/>
      </c>
      <c r="N222" s="1" t="str">
        <f t="shared" si="67"/>
        <v>Y</v>
      </c>
      <c r="O222" s="1" t="str">
        <f t="shared" si="66"/>
        <v>Y</v>
      </c>
      <c r="P222" s="1" t="str">
        <f t="shared" si="68"/>
        <v>Y</v>
      </c>
      <c r="Q222" s="1" t="str">
        <f t="shared" si="70"/>
        <v>A</v>
      </c>
    </row>
    <row r="223" spans="1:17" x14ac:dyDescent="0.3">
      <c r="A223" s="1" t="str">
        <f t="shared" si="64"/>
        <v>A</v>
      </c>
      <c r="B223" s="1" t="str">
        <f>"SON201"</f>
        <v>SON201</v>
      </c>
      <c r="C223" s="1" t="str">
        <f>"상복부초음파검사-정상"</f>
        <v>상복부초음파검사-정상</v>
      </c>
      <c r="D223" s="1" t="str">
        <f>"상복부초음파검사상 특이 이상소견 없습니다."</f>
        <v>상복부초음파검사상 특이 이상소견 없습니다.</v>
      </c>
      <c r="E223" s="1" t="str">
        <f>"WOK01"</f>
        <v>WOK01</v>
      </c>
      <c r="F223" s="1" t="str">
        <f>""</f>
        <v/>
      </c>
      <c r="G223" s="1" t="str">
        <f>"DISK"</f>
        <v>DISK</v>
      </c>
      <c r="H223" s="1" t="str">
        <f>"REL05"</f>
        <v>REL05</v>
      </c>
      <c r="I223" s="1" t="str">
        <f>""</f>
        <v/>
      </c>
      <c r="J223" s="1" t="str">
        <f>"C05A"</f>
        <v>C05A</v>
      </c>
      <c r="K223" s="1" t="str">
        <f>"C05A"</f>
        <v>C05A</v>
      </c>
      <c r="L223" s="1" t="str">
        <f t="shared" si="65"/>
        <v>R</v>
      </c>
      <c r="M223" s="1" t="str">
        <f>"T02"</f>
        <v>T02</v>
      </c>
      <c r="N223" s="1" t="str">
        <f t="shared" si="67"/>
        <v>Y</v>
      </c>
      <c r="O223" s="1" t="str">
        <f t="shared" si="66"/>
        <v>Y</v>
      </c>
      <c r="P223" s="1" t="str">
        <f t="shared" si="68"/>
        <v>Y</v>
      </c>
      <c r="Q223" s="1" t="str">
        <f t="shared" si="70"/>
        <v>A</v>
      </c>
    </row>
    <row r="224" spans="1:17" x14ac:dyDescent="0.3">
      <c r="A224" s="1" t="str">
        <f t="shared" si="64"/>
        <v>A</v>
      </c>
      <c r="B224" s="1" t="str">
        <f>"TBC001"</f>
        <v>TBC001</v>
      </c>
      <c r="C224" s="1" t="str">
        <f>"결핵도말검사음성"</f>
        <v>결핵도말검사음성</v>
      </c>
      <c r="D224" s="1" t="str">
        <f>"결핵균에 대한 객담도말검사 결과 음성 소견입니다. 건강 검진 시 확인하세요."</f>
        <v>결핵균에 대한 객담도말검사 결과 음성 소견입니다. 건강 검진 시 확인하세요.</v>
      </c>
      <c r="E224" s="1" t="str">
        <f>"WOK01"</f>
        <v>WOK01</v>
      </c>
      <c r="F224" s="1" t="str">
        <f>"PTM00"</f>
        <v>PTM00</v>
      </c>
      <c r="G224" s="1" t="str">
        <f>"DISA"</f>
        <v>DISA</v>
      </c>
      <c r="H224" s="1" t="str">
        <f>"REL01"</f>
        <v>REL01</v>
      </c>
      <c r="I224" s="1" t="str">
        <f>""</f>
        <v/>
      </c>
      <c r="J224" s="1" t="str">
        <f t="shared" ref="J224:K226" si="78">"C01A"</f>
        <v>C01A</v>
      </c>
      <c r="K224" s="1" t="str">
        <f t="shared" si="78"/>
        <v>C01A</v>
      </c>
      <c r="L224" s="1" t="str">
        <f t="shared" si="65"/>
        <v>R</v>
      </c>
      <c r="M224" s="1" t="str">
        <f>"T04"</f>
        <v>T04</v>
      </c>
      <c r="N224" s="1" t="str">
        <f t="shared" si="67"/>
        <v>Y</v>
      </c>
      <c r="O224" s="1" t="str">
        <f t="shared" si="66"/>
        <v>Y</v>
      </c>
      <c r="P224" s="1" t="str">
        <f t="shared" si="68"/>
        <v>Y</v>
      </c>
      <c r="Q224" s="1" t="str">
        <f t="shared" si="70"/>
        <v>A</v>
      </c>
    </row>
    <row r="225" spans="1:17" x14ac:dyDescent="0.3">
      <c r="A225" s="1" t="str">
        <f t="shared" si="64"/>
        <v>A</v>
      </c>
      <c r="B225" s="1" t="str">
        <f>"TBC201"</f>
        <v>TBC201</v>
      </c>
      <c r="C225" s="1" t="str">
        <f>"비활동성 폐결핵"</f>
        <v>비활동성 폐결핵</v>
      </c>
      <c r="D225" s="1" t="str">
        <f>"과거 염증(결핵 등)의 흔적으로 병적소견은 아닙니다. 정기적 흉부x선검사로 관찰하세요"</f>
        <v>과거 염증(결핵 등)의 흔적으로 병적소견은 아닙니다. 정기적 흉부x선검사로 관찰하세요</v>
      </c>
      <c r="E225" s="1" t="str">
        <f>"WOK01"</f>
        <v>WOK01</v>
      </c>
      <c r="F225" s="1" t="str">
        <f>"PTM00"</f>
        <v>PTM00</v>
      </c>
      <c r="G225" s="1" t="str">
        <f>"DISJ"</f>
        <v>DISJ</v>
      </c>
      <c r="H225" s="1" t="str">
        <f>"REL01"</f>
        <v>REL01</v>
      </c>
      <c r="I225" s="1" t="str">
        <f>""</f>
        <v/>
      </c>
      <c r="J225" s="1" t="str">
        <f t="shared" si="78"/>
        <v>C01A</v>
      </c>
      <c r="K225" s="1" t="str">
        <f t="shared" si="78"/>
        <v>C01A</v>
      </c>
      <c r="L225" s="1" t="str">
        <f t="shared" si="65"/>
        <v>R</v>
      </c>
      <c r="M225" s="1" t="str">
        <f>"T04"</f>
        <v>T04</v>
      </c>
      <c r="N225" s="1" t="str">
        <f t="shared" si="67"/>
        <v>Y</v>
      </c>
      <c r="O225" s="1" t="str">
        <f>"N"</f>
        <v>N</v>
      </c>
      <c r="P225" s="1" t="str">
        <f t="shared" si="68"/>
        <v>Y</v>
      </c>
      <c r="Q225" s="1" t="str">
        <f t="shared" si="70"/>
        <v>A</v>
      </c>
    </row>
    <row r="226" spans="1:17" x14ac:dyDescent="0.3">
      <c r="A226" s="1" t="str">
        <f t="shared" si="64"/>
        <v>A</v>
      </c>
      <c r="B226" s="1" t="str">
        <f>"TBGR"</f>
        <v>TBGR</v>
      </c>
      <c r="C226" s="1" t="str">
        <f>"비활동성 폐결핵"</f>
        <v>비활동성 폐결핵</v>
      </c>
      <c r="D226" s="1" t="str">
        <f>"과거 염증(결핵 등)의 흔적으로 병적소견은 아닙니다. 정기적 흉부x선검사로 관찰하세요"</f>
        <v>과거 염증(결핵 등)의 흔적으로 병적소견은 아닙니다. 정기적 흉부x선검사로 관찰하세요</v>
      </c>
      <c r="E226" s="1" t="str">
        <f>"WOK01"</f>
        <v>WOK01</v>
      </c>
      <c r="F226" s="1" t="str">
        <f>"PTM036"</f>
        <v>PTM036</v>
      </c>
      <c r="G226" s="1" t="str">
        <f>"DISJ"</f>
        <v>DISJ</v>
      </c>
      <c r="H226" s="1" t="str">
        <f>"REL01"</f>
        <v>REL01</v>
      </c>
      <c r="I226" s="1" t="str">
        <f>""</f>
        <v/>
      </c>
      <c r="J226" s="1" t="str">
        <f t="shared" si="78"/>
        <v>C01A</v>
      </c>
      <c r="K226" s="1" t="str">
        <f t="shared" si="78"/>
        <v>C01A</v>
      </c>
      <c r="L226" s="1" t="str">
        <f t="shared" si="65"/>
        <v>R</v>
      </c>
      <c r="M226" s="1" t="str">
        <f>"T04"</f>
        <v>T04</v>
      </c>
      <c r="N226" s="1" t="str">
        <f t="shared" si="67"/>
        <v>Y</v>
      </c>
      <c r="O226" s="1" t="str">
        <f>"N"</f>
        <v>N</v>
      </c>
      <c r="P226" s="1" t="str">
        <f t="shared" si="68"/>
        <v>Y</v>
      </c>
      <c r="Q226" s="1" t="str">
        <f t="shared" si="70"/>
        <v>A</v>
      </c>
    </row>
    <row r="227" spans="1:17" x14ac:dyDescent="0.3">
      <c r="A227" s="1" t="str">
        <f t="shared" si="64"/>
        <v>A</v>
      </c>
      <c r="B227" s="1" t="str">
        <f>"TESTOS1"</f>
        <v>TESTOS1</v>
      </c>
      <c r="C227" s="1" t="str">
        <f>"남성호르몬 정상"</f>
        <v>남성호르몬 정상</v>
      </c>
      <c r="D227" s="1" t="str">
        <f>"남성호르몬(Testosterone) 검사 결과 정상범위입니다."</f>
        <v>남성호르몬(Testosterone) 검사 결과 정상범위입니다.</v>
      </c>
      <c r="E227" s="1" t="str">
        <f>""</f>
        <v/>
      </c>
      <c r="F227" s="1" t="str">
        <f>""</f>
        <v/>
      </c>
      <c r="G227" s="1" t="str">
        <f>""</f>
        <v/>
      </c>
      <c r="H227" s="1" t="str">
        <f>""</f>
        <v/>
      </c>
      <c r="I227" s="1" t="str">
        <f>""</f>
        <v/>
      </c>
      <c r="J227" s="1" t="str">
        <f>""</f>
        <v/>
      </c>
      <c r="K227" s="1" t="str">
        <f>""</f>
        <v/>
      </c>
      <c r="L227" s="1" t="str">
        <f t="shared" si="65"/>
        <v>R</v>
      </c>
      <c r="M227" s="1" t="str">
        <f>""</f>
        <v/>
      </c>
      <c r="N227" s="1" t="str">
        <f t="shared" si="67"/>
        <v>Y</v>
      </c>
      <c r="O227" s="1" t="str">
        <f t="shared" ref="O227:O258" si="79">"Y"</f>
        <v>Y</v>
      </c>
      <c r="P227" s="1" t="str">
        <f t="shared" si="68"/>
        <v>Y</v>
      </c>
      <c r="Q227" s="1" t="str">
        <f t="shared" si="70"/>
        <v>A</v>
      </c>
    </row>
    <row r="228" spans="1:17" x14ac:dyDescent="0.3">
      <c r="A228" s="1" t="str">
        <f t="shared" si="64"/>
        <v>A</v>
      </c>
      <c r="B228" s="1" t="str">
        <f>"THY303"</f>
        <v>THY303</v>
      </c>
      <c r="C228" s="1" t="str">
        <f>"갑상선호르몬 정상"</f>
        <v>갑상선호르몬 정상</v>
      </c>
      <c r="D228" s="1" t="s">
        <v>46</v>
      </c>
      <c r="E228" s="1" t="str">
        <f>""</f>
        <v/>
      </c>
      <c r="F228" s="1" t="str">
        <f>""</f>
        <v/>
      </c>
      <c r="G228" s="1" t="str">
        <f>"DISE"</f>
        <v>DISE</v>
      </c>
      <c r="H228" s="1" t="str">
        <f>"REL23"</f>
        <v>REL23</v>
      </c>
      <c r="I228" s="1" t="str">
        <f>""</f>
        <v/>
      </c>
      <c r="J228" s="1" t="str">
        <f>"C35R"</f>
        <v>C35R</v>
      </c>
      <c r="K228" s="1" t="str">
        <f>""</f>
        <v/>
      </c>
      <c r="L228" s="1" t="str">
        <f t="shared" si="65"/>
        <v>R</v>
      </c>
      <c r="M228" s="1" t="str">
        <f>""</f>
        <v/>
      </c>
      <c r="N228" s="1" t="str">
        <f t="shared" si="67"/>
        <v>Y</v>
      </c>
      <c r="O228" s="1" t="str">
        <f t="shared" si="79"/>
        <v>Y</v>
      </c>
      <c r="P228" s="1" t="str">
        <f t="shared" si="68"/>
        <v>Y</v>
      </c>
      <c r="Q228" s="1" t="str">
        <f t="shared" si="70"/>
        <v>A</v>
      </c>
    </row>
    <row r="229" spans="1:17" x14ac:dyDescent="0.3">
      <c r="A229" s="1" t="str">
        <f t="shared" si="64"/>
        <v>A</v>
      </c>
      <c r="B229" s="1" t="str">
        <f>"US01003"</f>
        <v>US01003</v>
      </c>
      <c r="C229" s="1" t="str">
        <f>"복부 초음파검사상 이상소견 없음"</f>
        <v>복부 초음파검사상 이상소견 없음</v>
      </c>
      <c r="D229" s="1" t="s">
        <v>47</v>
      </c>
      <c r="E229" s="1" t="str">
        <f>""</f>
        <v/>
      </c>
      <c r="F229" s="1" t="str">
        <f>""</f>
        <v/>
      </c>
      <c r="G229" s="1" t="str">
        <f>""</f>
        <v/>
      </c>
      <c r="H229" s="1" t="str">
        <f>""</f>
        <v/>
      </c>
      <c r="I229" s="1" t="str">
        <f>""</f>
        <v/>
      </c>
      <c r="J229" s="1" t="str">
        <f>""</f>
        <v/>
      </c>
      <c r="K229" s="1" t="str">
        <f>""</f>
        <v/>
      </c>
      <c r="L229" s="1" t="str">
        <f t="shared" si="65"/>
        <v>R</v>
      </c>
      <c r="M229" s="1" t="str">
        <f>""</f>
        <v/>
      </c>
      <c r="N229" s="1" t="str">
        <f t="shared" si="67"/>
        <v>Y</v>
      </c>
      <c r="O229" s="1" t="str">
        <f t="shared" si="79"/>
        <v>Y</v>
      </c>
      <c r="P229" s="1" t="str">
        <f t="shared" si="68"/>
        <v>Y</v>
      </c>
      <c r="Q229" s="1" t="str">
        <f t="shared" si="70"/>
        <v>A</v>
      </c>
    </row>
    <row r="230" spans="1:17" x14ac:dyDescent="0.3">
      <c r="A230" s="1" t="str">
        <f t="shared" si="64"/>
        <v>A</v>
      </c>
      <c r="B230" s="1" t="str">
        <f>"USTH001"</f>
        <v>USTH001</v>
      </c>
      <c r="C230" s="1" t="str">
        <f>"정상 갑상선 초음파"</f>
        <v>정상 갑상선 초음파</v>
      </c>
      <c r="D230" s="1" t="str">
        <f>"갑상선 초음파 검사에서 특이소견 없습니다."</f>
        <v>갑상선 초음파 검사에서 특이소견 없습니다.</v>
      </c>
      <c r="E230" s="1" t="str">
        <f>""</f>
        <v/>
      </c>
      <c r="F230" s="1" t="str">
        <f>""</f>
        <v/>
      </c>
      <c r="G230" s="1" t="str">
        <f>""</f>
        <v/>
      </c>
      <c r="H230" s="1" t="str">
        <f>""</f>
        <v/>
      </c>
      <c r="I230" s="1" t="str">
        <f>""</f>
        <v/>
      </c>
      <c r="J230" s="1" t="str">
        <f>""</f>
        <v/>
      </c>
      <c r="K230" s="1" t="str">
        <f>""</f>
        <v/>
      </c>
      <c r="L230" s="1" t="str">
        <f t="shared" si="65"/>
        <v>R</v>
      </c>
      <c r="M230" s="1" t="str">
        <f>""</f>
        <v/>
      </c>
      <c r="N230" s="1" t="str">
        <f t="shared" si="67"/>
        <v>Y</v>
      </c>
      <c r="O230" s="1" t="str">
        <f t="shared" si="79"/>
        <v>Y</v>
      </c>
      <c r="P230" s="1" t="str">
        <f t="shared" si="68"/>
        <v>Y</v>
      </c>
      <c r="Q230" s="1" t="str">
        <f>""</f>
        <v/>
      </c>
    </row>
    <row r="231" spans="1:17" x14ac:dyDescent="0.3">
      <c r="A231" s="1" t="str">
        <f t="shared" ref="A231:A262" si="80">"B"</f>
        <v>B</v>
      </c>
      <c r="B231" s="1" t="str">
        <f>"ANE201"</f>
        <v>ANE201</v>
      </c>
      <c r="C231" s="1" t="str">
        <f>"경미한 빈혈"</f>
        <v>경미한 빈혈</v>
      </c>
      <c r="D231" s="1" t="str">
        <f>"철분  단백질이 풍부한 식사 잘하시고 주기적 검사가 필요합니다."</f>
        <v>철분  단백질이 풍부한 식사 잘하시고 주기적 검사가 필요합니다.</v>
      </c>
      <c r="E231" s="1" t="str">
        <f>"WOK01"</f>
        <v>WOK01</v>
      </c>
      <c r="F231" s="1" t="str">
        <f>"PTM00"</f>
        <v>PTM00</v>
      </c>
      <c r="G231" s="1" t="str">
        <f>"DISD"</f>
        <v>DISD</v>
      </c>
      <c r="H231" s="1" t="str">
        <f>"REL12"</f>
        <v>REL12</v>
      </c>
      <c r="I231" s="1" t="str">
        <f>""</f>
        <v/>
      </c>
      <c r="J231" s="1" t="str">
        <f>"C08A"</f>
        <v>C08A</v>
      </c>
      <c r="K231" s="1" t="str">
        <f>"C08A"</f>
        <v>C08A</v>
      </c>
      <c r="L231" s="1" t="str">
        <f t="shared" si="65"/>
        <v>R</v>
      </c>
      <c r="M231" s="1" t="str">
        <f>"T01"</f>
        <v>T01</v>
      </c>
      <c r="N231" s="1" t="str">
        <f t="shared" si="67"/>
        <v>Y</v>
      </c>
      <c r="O231" s="1" t="str">
        <f t="shared" si="79"/>
        <v>Y</v>
      </c>
      <c r="P231" s="1" t="str">
        <f t="shared" si="68"/>
        <v>Y</v>
      </c>
      <c r="Q231" s="1" t="str">
        <f t="shared" ref="Q231:Q294" si="81">"A"</f>
        <v>A</v>
      </c>
    </row>
    <row r="232" spans="1:17" x14ac:dyDescent="0.3">
      <c r="A232" s="1" t="str">
        <f t="shared" si="80"/>
        <v>B</v>
      </c>
      <c r="B232" s="1" t="str">
        <f>"ANE201M1"</f>
        <v>ANE201M1</v>
      </c>
      <c r="C232" s="1" t="str">
        <f>"경미한 빈혈"</f>
        <v>경미한 빈혈</v>
      </c>
      <c r="D232" s="1" t="str">
        <f>"경미한 빈혈에 해당하는 검사 결과입니다. 일시적인 생리적 현상일 수도 있으나 체내 잠복 출혈에 의한 것일 수도 있으므로 추적 관찰하시기 바랍니다."</f>
        <v>경미한 빈혈에 해당하는 검사 결과입니다. 일시적인 생리적 현상일 수도 있으나 체내 잠복 출혈에 의한 것일 수도 있으므로 추적 관찰하시기 바랍니다.</v>
      </c>
      <c r="E232" s="1" t="str">
        <f>"WOK02"</f>
        <v>WOK02</v>
      </c>
      <c r="F232" s="1" t="str">
        <f>"PTM01"</f>
        <v>PTM01</v>
      </c>
      <c r="G232" s="1" t="str">
        <f>"DISD"</f>
        <v>DISD</v>
      </c>
      <c r="H232" s="1" t="str">
        <f>"REL12"</f>
        <v>REL12</v>
      </c>
      <c r="I232" s="1" t="str">
        <f>""</f>
        <v/>
      </c>
      <c r="J232" s="1" t="str">
        <f>"C08A"</f>
        <v>C08A</v>
      </c>
      <c r="K232" s="1" t="str">
        <f>"C08A"</f>
        <v>C08A</v>
      </c>
      <c r="L232" s="1" t="str">
        <f t="shared" si="65"/>
        <v>R</v>
      </c>
      <c r="M232" s="1" t="str">
        <f>"T01"</f>
        <v>T01</v>
      </c>
      <c r="N232" s="1" t="str">
        <f t="shared" si="67"/>
        <v>Y</v>
      </c>
      <c r="O232" s="1" t="str">
        <f t="shared" si="79"/>
        <v>Y</v>
      </c>
      <c r="P232" s="1" t="str">
        <f t="shared" si="68"/>
        <v>Y</v>
      </c>
      <c r="Q232" s="1" t="str">
        <f t="shared" si="81"/>
        <v>A</v>
      </c>
    </row>
    <row r="233" spans="1:17" x14ac:dyDescent="0.3">
      <c r="A233" s="1" t="str">
        <f t="shared" si="80"/>
        <v>B</v>
      </c>
      <c r="B233" s="1" t="str">
        <f>"ANE202"</f>
        <v>ANE202</v>
      </c>
      <c r="C233" s="1" t="str">
        <f>"혈색소수치 상승"</f>
        <v>혈색소수치 상승</v>
      </c>
      <c r="D233" s="1" t="str">
        <f>"특별한 질환 없이도 일시적으로 상승할 수 있습니다. 이상증상이 있다면 진료를 받으시기 바랍니다."</f>
        <v>특별한 질환 없이도 일시적으로 상승할 수 있습니다. 이상증상이 있다면 진료를 받으시기 바랍니다.</v>
      </c>
      <c r="E233" s="1" t="str">
        <f>"WOK01"</f>
        <v>WOK01</v>
      </c>
      <c r="F233" s="1" t="str">
        <f>"PTM00"</f>
        <v>PTM00</v>
      </c>
      <c r="G233" s="1" t="str">
        <f>"DISD"</f>
        <v>DISD</v>
      </c>
      <c r="H233" s="1" t="str">
        <f>"REL33"</f>
        <v>REL33</v>
      </c>
      <c r="I233" s="1" t="str">
        <f>""</f>
        <v/>
      </c>
      <c r="J233" s="1" t="str">
        <f>"C34C"</f>
        <v>C34C</v>
      </c>
      <c r="K233" s="1" t="str">
        <f>"C34C"</f>
        <v>C34C</v>
      </c>
      <c r="L233" s="1" t="str">
        <f t="shared" si="65"/>
        <v>R</v>
      </c>
      <c r="M233" s="1" t="str">
        <f>"T01"</f>
        <v>T01</v>
      </c>
      <c r="N233" s="1" t="str">
        <f t="shared" ref="N233:N264" si="82">"Y"</f>
        <v>Y</v>
      </c>
      <c r="O233" s="1" t="str">
        <f t="shared" si="79"/>
        <v>Y</v>
      </c>
      <c r="P233" s="1" t="str">
        <f t="shared" si="68"/>
        <v>Y</v>
      </c>
      <c r="Q233" s="1" t="str">
        <f t="shared" si="81"/>
        <v>A</v>
      </c>
    </row>
    <row r="234" spans="1:17" x14ac:dyDescent="0.3">
      <c r="A234" s="1" t="str">
        <f t="shared" si="80"/>
        <v>B</v>
      </c>
      <c r="B234" s="1" t="str">
        <f>"ANELT1"</f>
        <v>ANELT1</v>
      </c>
      <c r="C234" s="1" t="str">
        <f>"경미한 빈혈"</f>
        <v>경미한 빈혈</v>
      </c>
      <c r="D234" s="1" t="str">
        <f>"철분과 단백질이 풍부한 식사 잘하시고 주기적 검사가 필요합니다."</f>
        <v>철분과 단백질이 풍부한 식사 잘하시고 주기적 검사가 필요합니다.</v>
      </c>
      <c r="E234" s="1" t="str">
        <f>"WOK01"</f>
        <v>WOK01</v>
      </c>
      <c r="F234" s="1" t="str">
        <f>"PTM00"</f>
        <v>PTM00</v>
      </c>
      <c r="G234" s="1" t="str">
        <f>"DISD"</f>
        <v>DISD</v>
      </c>
      <c r="H234" s="1" t="str">
        <f>"REL12"</f>
        <v>REL12</v>
      </c>
      <c r="I234" s="1" t="str">
        <f>""</f>
        <v/>
      </c>
      <c r="J234" s="1" t="str">
        <f>"C34A"</f>
        <v>C34A</v>
      </c>
      <c r="K234" s="1" t="str">
        <f>"C34A"</f>
        <v>C34A</v>
      </c>
      <c r="L234" s="1" t="str">
        <f t="shared" si="65"/>
        <v>R</v>
      </c>
      <c r="M234" s="1" t="str">
        <f>"T01"</f>
        <v>T01</v>
      </c>
      <c r="N234" s="1" t="str">
        <f t="shared" si="82"/>
        <v>Y</v>
      </c>
      <c r="O234" s="1" t="str">
        <f t="shared" si="79"/>
        <v>Y</v>
      </c>
      <c r="P234" s="1" t="str">
        <f t="shared" si="68"/>
        <v>Y</v>
      </c>
      <c r="Q234" s="1" t="str">
        <f t="shared" si="81"/>
        <v>A</v>
      </c>
    </row>
    <row r="235" spans="1:17" x14ac:dyDescent="0.3">
      <c r="A235" s="1" t="str">
        <f t="shared" si="80"/>
        <v>B</v>
      </c>
      <c r="B235" s="1" t="str">
        <f>"B000301"</f>
        <v>B000301</v>
      </c>
      <c r="C235" s="1" t="str">
        <f>"적혈구분포폭 감소"</f>
        <v>적혈구분포폭 감소</v>
      </c>
      <c r="D235" s="1" t="s">
        <v>48</v>
      </c>
      <c r="E235" s="1" t="str">
        <f>""</f>
        <v/>
      </c>
      <c r="F235" s="1" t="str">
        <f>""</f>
        <v/>
      </c>
      <c r="G235" s="1" t="str">
        <f>""</f>
        <v/>
      </c>
      <c r="H235" s="1" t="str">
        <f>""</f>
        <v/>
      </c>
      <c r="I235" s="1" t="str">
        <f>""</f>
        <v/>
      </c>
      <c r="J235" s="1" t="str">
        <f>""</f>
        <v/>
      </c>
      <c r="K235" s="1" t="str">
        <f>""</f>
        <v/>
      </c>
      <c r="L235" s="1" t="str">
        <f t="shared" si="65"/>
        <v>R</v>
      </c>
      <c r="M235" s="1" t="str">
        <f>""</f>
        <v/>
      </c>
      <c r="N235" s="1" t="str">
        <f t="shared" si="82"/>
        <v>Y</v>
      </c>
      <c r="O235" s="1" t="str">
        <f t="shared" si="79"/>
        <v>Y</v>
      </c>
      <c r="P235" s="1" t="str">
        <f t="shared" si="68"/>
        <v>Y</v>
      </c>
      <c r="Q235" s="1" t="str">
        <f t="shared" si="81"/>
        <v>A</v>
      </c>
    </row>
    <row r="236" spans="1:17" x14ac:dyDescent="0.3">
      <c r="A236" s="1" t="str">
        <f t="shared" si="80"/>
        <v>B</v>
      </c>
      <c r="B236" s="1" t="str">
        <f>"B130101"</f>
        <v>B130101</v>
      </c>
      <c r="C236" s="1" t="str">
        <f>"혈뇨검출"</f>
        <v>혈뇨검출</v>
      </c>
      <c r="D236" s="1" t="s">
        <v>49</v>
      </c>
      <c r="E236" s="1" t="str">
        <f>""</f>
        <v/>
      </c>
      <c r="F236" s="1" t="str">
        <f>""</f>
        <v/>
      </c>
      <c r="G236" s="1" t="str">
        <f>""</f>
        <v/>
      </c>
      <c r="H236" s="1" t="str">
        <f>""</f>
        <v/>
      </c>
      <c r="I236" s="1" t="str">
        <f>""</f>
        <v/>
      </c>
      <c r="J236" s="1" t="str">
        <f>""</f>
        <v/>
      </c>
      <c r="K236" s="1" t="str">
        <f>""</f>
        <v/>
      </c>
      <c r="L236" s="1" t="str">
        <f t="shared" si="65"/>
        <v>R</v>
      </c>
      <c r="M236" s="1" t="str">
        <f>""</f>
        <v/>
      </c>
      <c r="N236" s="1" t="str">
        <f t="shared" si="82"/>
        <v>Y</v>
      </c>
      <c r="O236" s="1" t="str">
        <f t="shared" si="79"/>
        <v>Y</v>
      </c>
      <c r="P236" s="1" t="str">
        <f t="shared" si="68"/>
        <v>Y</v>
      </c>
      <c r="Q236" s="1" t="str">
        <f t="shared" si="81"/>
        <v>A</v>
      </c>
    </row>
    <row r="237" spans="1:17" x14ac:dyDescent="0.3">
      <c r="A237" s="1" t="str">
        <f t="shared" si="80"/>
        <v>B</v>
      </c>
      <c r="B237" s="1" t="str">
        <f>"B130101B"</f>
        <v>B130101B</v>
      </c>
      <c r="C237" s="1" t="str">
        <f>"혈뇨검출"</f>
        <v>혈뇨검출</v>
      </c>
      <c r="D237" s="1" t="s">
        <v>50</v>
      </c>
      <c r="E237" s="1" t="str">
        <f>"WOK02"</f>
        <v>WOK02</v>
      </c>
      <c r="F237" s="1" t="str">
        <f>"PTM01"</f>
        <v>PTM01</v>
      </c>
      <c r="G237" s="1" t="str">
        <f>"DISN"</f>
        <v>DISN</v>
      </c>
      <c r="H237" s="1" t="str">
        <f>"REL09"</f>
        <v>REL09</v>
      </c>
      <c r="I237" s="1" t="str">
        <f>""</f>
        <v/>
      </c>
      <c r="J237" s="1" t="str">
        <f>""</f>
        <v/>
      </c>
      <c r="K237" s="1" t="str">
        <f>""</f>
        <v/>
      </c>
      <c r="L237" s="1" t="str">
        <f t="shared" si="65"/>
        <v>R</v>
      </c>
      <c r="M237" s="1" t="str">
        <f>"T05"</f>
        <v>T05</v>
      </c>
      <c r="N237" s="1" t="str">
        <f t="shared" si="82"/>
        <v>Y</v>
      </c>
      <c r="O237" s="1" t="str">
        <f t="shared" si="79"/>
        <v>Y</v>
      </c>
      <c r="P237" s="1" t="str">
        <f t="shared" si="68"/>
        <v>Y</v>
      </c>
      <c r="Q237" s="1" t="str">
        <f t="shared" si="81"/>
        <v>A</v>
      </c>
    </row>
    <row r="238" spans="1:17" x14ac:dyDescent="0.3">
      <c r="A238" s="1" t="str">
        <f t="shared" si="80"/>
        <v>B</v>
      </c>
      <c r="B238" s="1" t="str">
        <f>"B130501"</f>
        <v>B130501</v>
      </c>
      <c r="C238" s="1" t="str">
        <f>"요단백검출"</f>
        <v>요단백검출</v>
      </c>
      <c r="D238" s="1" t="str">
        <f>"소변에서 단백성분이 검출됩니다. 소변의 단백성분은 신기능에 이상이 있을때 나타날 수 있으나 심한운동이나 음주후에도 양성으로 나올수 있습니다. 가까운 시일내에 소변검사를 다시 받아보시기 바랍니다."</f>
        <v>소변에서 단백성분이 검출됩니다. 소변의 단백성분은 신기능에 이상이 있을때 나타날 수 있으나 심한운동이나 음주후에도 양성으로 나올수 있습니다. 가까운 시일내에 소변검사를 다시 받아보시기 바랍니다.</v>
      </c>
      <c r="E238" s="1" t="str">
        <f>""</f>
        <v/>
      </c>
      <c r="F238" s="1" t="str">
        <f>""</f>
        <v/>
      </c>
      <c r="G238" s="1" t="str">
        <f>""</f>
        <v/>
      </c>
      <c r="H238" s="1" t="str">
        <f>""</f>
        <v/>
      </c>
      <c r="I238" s="1" t="str">
        <f>""</f>
        <v/>
      </c>
      <c r="J238" s="1" t="str">
        <f>""</f>
        <v/>
      </c>
      <c r="K238" s="1" t="str">
        <f>""</f>
        <v/>
      </c>
      <c r="L238" s="1" t="str">
        <f t="shared" si="65"/>
        <v>R</v>
      </c>
      <c r="M238" s="1" t="str">
        <f>""</f>
        <v/>
      </c>
      <c r="N238" s="1" t="str">
        <f t="shared" si="82"/>
        <v>Y</v>
      </c>
      <c r="O238" s="1" t="str">
        <f t="shared" si="79"/>
        <v>Y</v>
      </c>
      <c r="P238" s="1" t="str">
        <f t="shared" si="68"/>
        <v>Y</v>
      </c>
      <c r="Q238" s="1" t="str">
        <f t="shared" si="81"/>
        <v>A</v>
      </c>
    </row>
    <row r="239" spans="1:17" x14ac:dyDescent="0.3">
      <c r="A239" s="1" t="str">
        <f t="shared" si="80"/>
        <v>B</v>
      </c>
      <c r="B239" s="1" t="str">
        <f>"B131001"</f>
        <v>B131001</v>
      </c>
      <c r="C239" s="1" t="str">
        <f>"경미한빈혈"</f>
        <v>경미한빈혈</v>
      </c>
      <c r="D239" s="1" t="str">
        <f>"혈액검사상 경미한 빈혈(혈색소수치가 정상범위보다 감소한 상태)이 있습니다. 영양섭취를 고르게 하시고 추적관찰을 위해 3개월이내에 다시 검사를 받아보시기 바랍니다."</f>
        <v>혈액검사상 경미한 빈혈(혈색소수치가 정상범위보다 감소한 상태)이 있습니다. 영양섭취를 고르게 하시고 추적관찰을 위해 3개월이내에 다시 검사를 받아보시기 바랍니다.</v>
      </c>
      <c r="E239" s="1" t="str">
        <f>""</f>
        <v/>
      </c>
      <c r="F239" s="1" t="str">
        <f>""</f>
        <v/>
      </c>
      <c r="G239" s="1" t="str">
        <f>""</f>
        <v/>
      </c>
      <c r="H239" s="1" t="str">
        <f>""</f>
        <v/>
      </c>
      <c r="I239" s="1" t="str">
        <f>""</f>
        <v/>
      </c>
      <c r="J239" s="1" t="str">
        <f>""</f>
        <v/>
      </c>
      <c r="K239" s="1" t="str">
        <f>""</f>
        <v/>
      </c>
      <c r="L239" s="1" t="str">
        <f t="shared" si="65"/>
        <v>R</v>
      </c>
      <c r="M239" s="1" t="str">
        <f>""</f>
        <v/>
      </c>
      <c r="N239" s="1" t="str">
        <f t="shared" si="82"/>
        <v>Y</v>
      </c>
      <c r="O239" s="1" t="str">
        <f t="shared" si="79"/>
        <v>Y</v>
      </c>
      <c r="P239" s="1" t="str">
        <f t="shared" si="68"/>
        <v>Y</v>
      </c>
      <c r="Q239" s="1" t="str">
        <f t="shared" si="81"/>
        <v>A</v>
      </c>
    </row>
    <row r="240" spans="1:17" x14ac:dyDescent="0.3">
      <c r="A240" s="1" t="str">
        <f t="shared" si="80"/>
        <v>B</v>
      </c>
      <c r="B240" s="1" t="str">
        <f>"B131001H"</f>
        <v>B131001H</v>
      </c>
      <c r="C240" s="1" t="str">
        <f>"경미한빈혈"</f>
        <v>경미한빈혈</v>
      </c>
      <c r="D240" s="1" t="str">
        <f>"혈액검사상 혈색소가 감소하여 경미한 빈혈 소견이 있습니다. 영양섭취를 고르게 하시고 정기검진 통하여 수치변화 확인하시기 바랍니다."</f>
        <v>혈액검사상 혈색소가 감소하여 경미한 빈혈 소견이 있습니다. 영양섭취를 고르게 하시고 정기검진 통하여 수치변화 확인하시기 바랍니다.</v>
      </c>
      <c r="E240" s="1" t="str">
        <f>""</f>
        <v/>
      </c>
      <c r="F240" s="1" t="str">
        <f>""</f>
        <v/>
      </c>
      <c r="G240" s="1" t="str">
        <f>""</f>
        <v/>
      </c>
      <c r="H240" s="1" t="str">
        <f>""</f>
        <v/>
      </c>
      <c r="I240" s="1" t="str">
        <f>""</f>
        <v/>
      </c>
      <c r="J240" s="1" t="str">
        <f>""</f>
        <v/>
      </c>
      <c r="K240" s="1" t="str">
        <f>""</f>
        <v/>
      </c>
      <c r="L240" s="1" t="str">
        <f t="shared" si="65"/>
        <v>R</v>
      </c>
      <c r="M240" s="1" t="str">
        <f>""</f>
        <v/>
      </c>
      <c r="N240" s="1" t="str">
        <f t="shared" si="82"/>
        <v>Y</v>
      </c>
      <c r="O240" s="1" t="str">
        <f t="shared" si="79"/>
        <v>Y</v>
      </c>
      <c r="P240" s="1" t="str">
        <f t="shared" si="68"/>
        <v>Y</v>
      </c>
      <c r="Q240" s="1" t="str">
        <f t="shared" si="81"/>
        <v>A</v>
      </c>
    </row>
    <row r="241" spans="1:17" x14ac:dyDescent="0.3">
      <c r="A241" s="1" t="str">
        <f t="shared" si="80"/>
        <v>B</v>
      </c>
      <c r="B241" s="1" t="str">
        <f>"B259101"</f>
        <v>B259101</v>
      </c>
      <c r="C241" s="1" t="str">
        <f>"단구 증가"</f>
        <v>단구 증가</v>
      </c>
      <c r="D241" s="1" t="str">
        <f>"""*** 참 고 *** 몇가지 항목에서 기준치를 약간 벗어난 결과가 있습니다. 그러나 다른 항목의 검사결과를 종합하여 판단할 때 1회의 검사소견만으로 병리적 상태로 보기는 어렵습니다. 재검사 후 종합적인 판단이 필요합니다."""</f>
        <v>"*** 참 고 *** 몇가지 항목에서 기준치를 약간 벗어난 결과가 있습니다. 그러나 다른 항목의 검사결과를 종합하여 판단할 때 1회의 검사소견만으로 병리적 상태로 보기는 어렵습니다. 재검사 후 종합적인 판단이 필요합니다."</v>
      </c>
      <c r="E241" s="1" t="str">
        <f>""</f>
        <v/>
      </c>
      <c r="F241" s="1" t="str">
        <f>""</f>
        <v/>
      </c>
      <c r="G241" s="1" t="str">
        <f>""</f>
        <v/>
      </c>
      <c r="H241" s="1" t="str">
        <f>""</f>
        <v/>
      </c>
      <c r="I241" s="1" t="str">
        <f>""</f>
        <v/>
      </c>
      <c r="J241" s="1" t="str">
        <f>""</f>
        <v/>
      </c>
      <c r="K241" s="1" t="str">
        <f>""</f>
        <v/>
      </c>
      <c r="L241" s="1" t="str">
        <f t="shared" si="65"/>
        <v>R</v>
      </c>
      <c r="M241" s="1" t="str">
        <f>""</f>
        <v/>
      </c>
      <c r="N241" s="1" t="str">
        <f t="shared" si="82"/>
        <v>Y</v>
      </c>
      <c r="O241" s="1" t="str">
        <f t="shared" si="79"/>
        <v>Y</v>
      </c>
      <c r="P241" s="1" t="str">
        <f t="shared" si="68"/>
        <v>Y</v>
      </c>
      <c r="Q241" s="1" t="str">
        <f t="shared" si="81"/>
        <v>A</v>
      </c>
    </row>
    <row r="242" spans="1:17" x14ac:dyDescent="0.3">
      <c r="A242" s="1" t="str">
        <f t="shared" si="80"/>
        <v>B</v>
      </c>
      <c r="B242" s="1" t="str">
        <f>"B271001"</f>
        <v>B271001</v>
      </c>
      <c r="C242" s="1" t="str">
        <f>"간기능저하"</f>
        <v>간기능저하</v>
      </c>
      <c r="D242" s="1" t="s">
        <v>51</v>
      </c>
      <c r="E242" s="1" t="str">
        <f>""</f>
        <v/>
      </c>
      <c r="F242" s="1" t="str">
        <f>""</f>
        <v/>
      </c>
      <c r="G242" s="1" t="str">
        <f>""</f>
        <v/>
      </c>
      <c r="H242" s="1" t="str">
        <f>""</f>
        <v/>
      </c>
      <c r="I242" s="1" t="str">
        <f>""</f>
        <v/>
      </c>
      <c r="J242" s="1" t="str">
        <f>""</f>
        <v/>
      </c>
      <c r="K242" s="1" t="str">
        <f>""</f>
        <v/>
      </c>
      <c r="L242" s="1" t="str">
        <f t="shared" si="65"/>
        <v>R</v>
      </c>
      <c r="M242" s="1" t="str">
        <f>""</f>
        <v/>
      </c>
      <c r="N242" s="1" t="str">
        <f t="shared" si="82"/>
        <v>Y</v>
      </c>
      <c r="O242" s="1" t="str">
        <f t="shared" si="79"/>
        <v>Y</v>
      </c>
      <c r="P242" s="1" t="str">
        <f t="shared" si="68"/>
        <v>Y</v>
      </c>
      <c r="Q242" s="1" t="str">
        <f t="shared" si="81"/>
        <v>A</v>
      </c>
    </row>
    <row r="243" spans="1:17" x14ac:dyDescent="0.3">
      <c r="A243" s="1" t="str">
        <f t="shared" si="80"/>
        <v>B</v>
      </c>
      <c r="B243" s="1" t="str">
        <f>"BALANCE3"</f>
        <v>BALANCE3</v>
      </c>
      <c r="C243" s="1" t="str">
        <f>"평형감각 주의 (낙상 고위험자)"</f>
        <v>평형감각 주의 (낙상 고위험자)</v>
      </c>
      <c r="D243" s="1" t="str">
        <f>"낙상은 큰 부상의 원인이 됩니다. 일상생활 중 넘어져 다치지 않도록 주의하세요."</f>
        <v>낙상은 큰 부상의 원인이 됩니다. 일상생활 중 넘어져 다치지 않도록 주의하세요.</v>
      </c>
      <c r="E243" s="1" t="str">
        <f>"WOK02"</f>
        <v>WOK02</v>
      </c>
      <c r="F243" s="1" t="str">
        <f>"PTM01"</f>
        <v>PTM01</v>
      </c>
      <c r="G243" s="1" t="str">
        <f>"DISM"</f>
        <v>DISM</v>
      </c>
      <c r="H243" s="1" t="str">
        <f>"REL29"</f>
        <v>REL29</v>
      </c>
      <c r="I243" s="1" t="str">
        <f>""</f>
        <v/>
      </c>
      <c r="J243" s="1" t="str">
        <f>"C43A"</f>
        <v>C43A</v>
      </c>
      <c r="K243" s="1" t="str">
        <f>"C01D"</f>
        <v>C01D</v>
      </c>
      <c r="L243" s="1" t="str">
        <f t="shared" si="65"/>
        <v>R</v>
      </c>
      <c r="M243" s="1" t="str">
        <f>"T06"</f>
        <v>T06</v>
      </c>
      <c r="N243" s="1" t="str">
        <f t="shared" si="82"/>
        <v>Y</v>
      </c>
      <c r="O243" s="1" t="str">
        <f t="shared" si="79"/>
        <v>Y</v>
      </c>
      <c r="P243" s="1" t="str">
        <f t="shared" si="68"/>
        <v>Y</v>
      </c>
      <c r="Q243" s="1" t="str">
        <f t="shared" si="81"/>
        <v>A</v>
      </c>
    </row>
    <row r="244" spans="1:17" x14ac:dyDescent="0.3">
      <c r="A244" s="1" t="str">
        <f t="shared" si="80"/>
        <v>B</v>
      </c>
      <c r="B244" s="1" t="str">
        <f>"BLD7"</f>
        <v>BLD7</v>
      </c>
      <c r="C244" s="1" t="str">
        <f>"기타혈액형"</f>
        <v>기타혈액형</v>
      </c>
      <c r="D244" s="1" t="str">
        <f>"학생검진에서 시행한 검사로는 정확한 판정이 블가능했습니다. 정밀 혈액형 검사를 받아보시기 바랍니다."</f>
        <v>학생검진에서 시행한 검사로는 정확한 판정이 블가능했습니다. 정밀 혈액형 검사를 받아보시기 바랍니다.</v>
      </c>
      <c r="E244" s="1" t="str">
        <f>""</f>
        <v/>
      </c>
      <c r="F244" s="1" t="str">
        <f>""</f>
        <v/>
      </c>
      <c r="G244" s="1" t="str">
        <f>""</f>
        <v/>
      </c>
      <c r="H244" s="1" t="str">
        <f>""</f>
        <v/>
      </c>
      <c r="I244" s="1" t="str">
        <f>""</f>
        <v/>
      </c>
      <c r="J244" s="1" t="str">
        <f>""</f>
        <v/>
      </c>
      <c r="K244" s="1" t="str">
        <f>""</f>
        <v/>
      </c>
      <c r="L244" s="1" t="str">
        <f t="shared" si="65"/>
        <v>R</v>
      </c>
      <c r="M244" s="1" t="str">
        <f>""</f>
        <v/>
      </c>
      <c r="N244" s="1" t="str">
        <f t="shared" si="82"/>
        <v>Y</v>
      </c>
      <c r="O244" s="1" t="str">
        <f t="shared" si="79"/>
        <v>Y</v>
      </c>
      <c r="P244" s="1" t="str">
        <f t="shared" si="68"/>
        <v>Y</v>
      </c>
      <c r="Q244" s="1" t="str">
        <f t="shared" si="81"/>
        <v>A</v>
      </c>
    </row>
    <row r="245" spans="1:17" x14ac:dyDescent="0.3">
      <c r="A245" s="1" t="str">
        <f t="shared" si="80"/>
        <v>B</v>
      </c>
      <c r="B245" s="1" t="str">
        <f>"BLGJB01"</f>
        <v>BLGJB01</v>
      </c>
      <c r="C245" s="1" t="str">
        <f>"공복혈당장애"</f>
        <v>공복혈당장애</v>
      </c>
      <c r="D245" s="1" t="s">
        <v>52</v>
      </c>
      <c r="E245" s="1" t="str">
        <f>""</f>
        <v/>
      </c>
      <c r="F245" s="1" t="str">
        <f>""</f>
        <v/>
      </c>
      <c r="G245" s="1" t="str">
        <f>"DISE"</f>
        <v>DISE</v>
      </c>
      <c r="H245" s="1" t="str">
        <f>"REL07"</f>
        <v>REL07</v>
      </c>
      <c r="I245" s="1" t="str">
        <f>""</f>
        <v/>
      </c>
      <c r="J245" s="1" t="str">
        <f>""</f>
        <v/>
      </c>
      <c r="K245" s="1" t="str">
        <f>""</f>
        <v/>
      </c>
      <c r="L245" s="1" t="str">
        <f t="shared" si="65"/>
        <v>R</v>
      </c>
      <c r="M245" s="1" t="str">
        <f>""</f>
        <v/>
      </c>
      <c r="N245" s="1" t="str">
        <f t="shared" si="82"/>
        <v>Y</v>
      </c>
      <c r="O245" s="1" t="str">
        <f t="shared" si="79"/>
        <v>Y</v>
      </c>
      <c r="P245" s="1" t="str">
        <f t="shared" si="68"/>
        <v>Y</v>
      </c>
      <c r="Q245" s="1" t="str">
        <f t="shared" si="81"/>
        <v>A</v>
      </c>
    </row>
    <row r="246" spans="1:17" x14ac:dyDescent="0.3">
      <c r="A246" s="1" t="str">
        <f t="shared" si="80"/>
        <v>B</v>
      </c>
      <c r="B246" s="1" t="str">
        <f>"BLOODA+"</f>
        <v>BLOODA+</v>
      </c>
      <c r="C246" s="1" t="str">
        <f>"혈액형 A형(Rh+)"</f>
        <v>혈액형 A형(Rh+)</v>
      </c>
      <c r="D246" s="1" t="str">
        <f>"보호자 진술에 의하면 혈액형은 Rh+ A형입니다. 이번 학생검진에서는 혈액형 검사를 시행하지 않았습니다."</f>
        <v>보호자 진술에 의하면 혈액형은 Rh+ A형입니다. 이번 학생검진에서는 혈액형 검사를 시행하지 않았습니다.</v>
      </c>
      <c r="E246" s="1" t="str">
        <f>""</f>
        <v/>
      </c>
      <c r="F246" s="1" t="str">
        <f t="shared" ref="F246:F254" si="83">"PTM00"</f>
        <v>PTM00</v>
      </c>
      <c r="G246" s="1" t="str">
        <f>""</f>
        <v/>
      </c>
      <c r="H246" s="1" t="str">
        <f t="shared" ref="H246:H253" si="84">"REL12"</f>
        <v>REL12</v>
      </c>
      <c r="I246" s="1" t="str">
        <f>""</f>
        <v/>
      </c>
      <c r="J246" s="1" t="str">
        <f>""</f>
        <v/>
      </c>
      <c r="K246" s="1" t="str">
        <f>""</f>
        <v/>
      </c>
      <c r="L246" s="1" t="str">
        <f t="shared" si="65"/>
        <v>R</v>
      </c>
      <c r="M246" s="1" t="str">
        <f t="shared" ref="M246:M253" si="85">"T01"</f>
        <v>T01</v>
      </c>
      <c r="N246" s="1" t="str">
        <f t="shared" si="82"/>
        <v>Y</v>
      </c>
      <c r="O246" s="1" t="str">
        <f t="shared" si="79"/>
        <v>Y</v>
      </c>
      <c r="P246" s="1" t="str">
        <f t="shared" si="68"/>
        <v>Y</v>
      </c>
      <c r="Q246" s="1" t="str">
        <f t="shared" si="81"/>
        <v>A</v>
      </c>
    </row>
    <row r="247" spans="1:17" x14ac:dyDescent="0.3">
      <c r="A247" s="1" t="str">
        <f t="shared" si="80"/>
        <v>B</v>
      </c>
      <c r="B247" s="1" t="str">
        <f>"BLOODA-"</f>
        <v>BLOODA-</v>
      </c>
      <c r="C247" s="1" t="str">
        <f>"혈액형 A형(Rh-)"</f>
        <v>혈액형 A형(Rh-)</v>
      </c>
      <c r="D247" s="1" t="str">
        <f>"보호자 진술에 의하면 혈액형은 Rh- A형입니다. 이번 학생검진에서는 혈액형 검사를 시행하지 않았습니다."</f>
        <v>보호자 진술에 의하면 혈액형은 Rh- A형입니다. 이번 학생검진에서는 혈액형 검사를 시행하지 않았습니다.</v>
      </c>
      <c r="E247" s="1" t="str">
        <f>""</f>
        <v/>
      </c>
      <c r="F247" s="1" t="str">
        <f t="shared" si="83"/>
        <v>PTM00</v>
      </c>
      <c r="G247" s="1" t="str">
        <f>""</f>
        <v/>
      </c>
      <c r="H247" s="1" t="str">
        <f t="shared" si="84"/>
        <v>REL12</v>
      </c>
      <c r="I247" s="1" t="str">
        <f>""</f>
        <v/>
      </c>
      <c r="J247" s="1" t="str">
        <f>""</f>
        <v/>
      </c>
      <c r="K247" s="1" t="str">
        <f>""</f>
        <v/>
      </c>
      <c r="L247" s="1" t="str">
        <f t="shared" si="65"/>
        <v>R</v>
      </c>
      <c r="M247" s="1" t="str">
        <f t="shared" si="85"/>
        <v>T01</v>
      </c>
      <c r="N247" s="1" t="str">
        <f t="shared" si="82"/>
        <v>Y</v>
      </c>
      <c r="O247" s="1" t="str">
        <f t="shared" si="79"/>
        <v>Y</v>
      </c>
      <c r="P247" s="1" t="str">
        <f t="shared" si="68"/>
        <v>Y</v>
      </c>
      <c r="Q247" s="1" t="str">
        <f t="shared" si="81"/>
        <v>A</v>
      </c>
    </row>
    <row r="248" spans="1:17" x14ac:dyDescent="0.3">
      <c r="A248" s="1" t="str">
        <f t="shared" si="80"/>
        <v>B</v>
      </c>
      <c r="B248" s="1" t="str">
        <f>"BLOODAB+"</f>
        <v>BLOODAB+</v>
      </c>
      <c r="C248" s="1" t="str">
        <f>"혈액형 AB형(Rh+)"</f>
        <v>혈액형 AB형(Rh+)</v>
      </c>
      <c r="D248" s="1" t="str">
        <f>"보호자 진술에 의하면 혈액형은 Rh+ AB형입니다. 이번 학생검진에서는 혈액형 검사를 시행하지 않았습니다."</f>
        <v>보호자 진술에 의하면 혈액형은 Rh+ AB형입니다. 이번 학생검진에서는 혈액형 검사를 시행하지 않았습니다.</v>
      </c>
      <c r="E248" s="1" t="str">
        <f>""</f>
        <v/>
      </c>
      <c r="F248" s="1" t="str">
        <f t="shared" si="83"/>
        <v>PTM00</v>
      </c>
      <c r="G248" s="1" t="str">
        <f>""</f>
        <v/>
      </c>
      <c r="H248" s="1" t="str">
        <f t="shared" si="84"/>
        <v>REL12</v>
      </c>
      <c r="I248" s="1" t="str">
        <f>""</f>
        <v/>
      </c>
      <c r="J248" s="1" t="str">
        <f>""</f>
        <v/>
      </c>
      <c r="K248" s="1" t="str">
        <f>""</f>
        <v/>
      </c>
      <c r="L248" s="1" t="str">
        <f t="shared" si="65"/>
        <v>R</v>
      </c>
      <c r="M248" s="1" t="str">
        <f t="shared" si="85"/>
        <v>T01</v>
      </c>
      <c r="N248" s="1" t="str">
        <f t="shared" si="82"/>
        <v>Y</v>
      </c>
      <c r="O248" s="1" t="str">
        <f t="shared" si="79"/>
        <v>Y</v>
      </c>
      <c r="P248" s="1" t="str">
        <f t="shared" si="68"/>
        <v>Y</v>
      </c>
      <c r="Q248" s="1" t="str">
        <f t="shared" si="81"/>
        <v>A</v>
      </c>
    </row>
    <row r="249" spans="1:17" x14ac:dyDescent="0.3">
      <c r="A249" s="1" t="str">
        <f t="shared" si="80"/>
        <v>B</v>
      </c>
      <c r="B249" s="1" t="str">
        <f>"BLOODAB-"</f>
        <v>BLOODAB-</v>
      </c>
      <c r="C249" s="1" t="str">
        <f>"혈액형 AB형(Rh-)"</f>
        <v>혈액형 AB형(Rh-)</v>
      </c>
      <c r="D249" s="1" t="str">
        <f>"보호자 진술에 의하면 혈액형은 Rh- AB형입니다. 이번 학생검진에서는 혈액형 검사를 시행하지 않았습니다."</f>
        <v>보호자 진술에 의하면 혈액형은 Rh- AB형입니다. 이번 학생검진에서는 혈액형 검사를 시행하지 않았습니다.</v>
      </c>
      <c r="E249" s="1" t="str">
        <f>""</f>
        <v/>
      </c>
      <c r="F249" s="1" t="str">
        <f t="shared" si="83"/>
        <v>PTM00</v>
      </c>
      <c r="G249" s="1" t="str">
        <f>""</f>
        <v/>
      </c>
      <c r="H249" s="1" t="str">
        <f t="shared" si="84"/>
        <v>REL12</v>
      </c>
      <c r="I249" s="1" t="str">
        <f>""</f>
        <v/>
      </c>
      <c r="J249" s="1" t="str">
        <f>""</f>
        <v/>
      </c>
      <c r="K249" s="1" t="str">
        <f>""</f>
        <v/>
      </c>
      <c r="L249" s="1" t="str">
        <f t="shared" si="65"/>
        <v>R</v>
      </c>
      <c r="M249" s="1" t="str">
        <f t="shared" si="85"/>
        <v>T01</v>
      </c>
      <c r="N249" s="1" t="str">
        <f t="shared" si="82"/>
        <v>Y</v>
      </c>
      <c r="O249" s="1" t="str">
        <f t="shared" si="79"/>
        <v>Y</v>
      </c>
      <c r="P249" s="1" t="str">
        <f t="shared" si="68"/>
        <v>Y</v>
      </c>
      <c r="Q249" s="1" t="str">
        <f t="shared" si="81"/>
        <v>A</v>
      </c>
    </row>
    <row r="250" spans="1:17" x14ac:dyDescent="0.3">
      <c r="A250" s="1" t="str">
        <f t="shared" si="80"/>
        <v>B</v>
      </c>
      <c r="B250" s="1" t="str">
        <f>"BLOODB+"</f>
        <v>BLOODB+</v>
      </c>
      <c r="C250" s="1" t="str">
        <f>"혈액형 B형(Rh+)"</f>
        <v>혈액형 B형(Rh+)</v>
      </c>
      <c r="D250" s="1" t="str">
        <f>"보호자 진술에 의하면 혈액형은 Rh+ B형입니다. 이번 학생검진에서는 혈액형 검사를 시행하지 않았습니다."</f>
        <v>보호자 진술에 의하면 혈액형은 Rh+ B형입니다. 이번 학생검진에서는 혈액형 검사를 시행하지 않았습니다.</v>
      </c>
      <c r="E250" s="1" t="str">
        <f>""</f>
        <v/>
      </c>
      <c r="F250" s="1" t="str">
        <f t="shared" si="83"/>
        <v>PTM00</v>
      </c>
      <c r="G250" s="1" t="str">
        <f>""</f>
        <v/>
      </c>
      <c r="H250" s="1" t="str">
        <f t="shared" si="84"/>
        <v>REL12</v>
      </c>
      <c r="I250" s="1" t="str">
        <f>""</f>
        <v/>
      </c>
      <c r="J250" s="1" t="str">
        <f>""</f>
        <v/>
      </c>
      <c r="K250" s="1" t="str">
        <f>""</f>
        <v/>
      </c>
      <c r="L250" s="1" t="str">
        <f t="shared" si="65"/>
        <v>R</v>
      </c>
      <c r="M250" s="1" t="str">
        <f t="shared" si="85"/>
        <v>T01</v>
      </c>
      <c r="N250" s="1" t="str">
        <f t="shared" si="82"/>
        <v>Y</v>
      </c>
      <c r="O250" s="1" t="str">
        <f t="shared" si="79"/>
        <v>Y</v>
      </c>
      <c r="P250" s="1" t="str">
        <f t="shared" si="68"/>
        <v>Y</v>
      </c>
      <c r="Q250" s="1" t="str">
        <f t="shared" si="81"/>
        <v>A</v>
      </c>
    </row>
    <row r="251" spans="1:17" x14ac:dyDescent="0.3">
      <c r="A251" s="1" t="str">
        <f t="shared" si="80"/>
        <v>B</v>
      </c>
      <c r="B251" s="1" t="str">
        <f>"BLOODB-"</f>
        <v>BLOODB-</v>
      </c>
      <c r="C251" s="1" t="str">
        <f>"혈액형 B형(Rh-)"</f>
        <v>혈액형 B형(Rh-)</v>
      </c>
      <c r="D251" s="1" t="str">
        <f>"보호자 진술에 의하면 혈액형은 Rh- B형입니다. 이번 학생검진에서는 혈액형 검사를 시행하지 않았습니다."</f>
        <v>보호자 진술에 의하면 혈액형은 Rh- B형입니다. 이번 학생검진에서는 혈액형 검사를 시행하지 않았습니다.</v>
      </c>
      <c r="E251" s="1" t="str">
        <f>""</f>
        <v/>
      </c>
      <c r="F251" s="1" t="str">
        <f t="shared" si="83"/>
        <v>PTM00</v>
      </c>
      <c r="G251" s="1" t="str">
        <f>""</f>
        <v/>
      </c>
      <c r="H251" s="1" t="str">
        <f t="shared" si="84"/>
        <v>REL12</v>
      </c>
      <c r="I251" s="1" t="str">
        <f>""</f>
        <v/>
      </c>
      <c r="J251" s="1" t="str">
        <f>""</f>
        <v/>
      </c>
      <c r="K251" s="1" t="str">
        <f>""</f>
        <v/>
      </c>
      <c r="L251" s="1" t="str">
        <f t="shared" si="65"/>
        <v>R</v>
      </c>
      <c r="M251" s="1" t="str">
        <f t="shared" si="85"/>
        <v>T01</v>
      </c>
      <c r="N251" s="1" t="str">
        <f t="shared" si="82"/>
        <v>Y</v>
      </c>
      <c r="O251" s="1" t="str">
        <f t="shared" si="79"/>
        <v>Y</v>
      </c>
      <c r="P251" s="1" t="str">
        <f t="shared" si="68"/>
        <v>Y</v>
      </c>
      <c r="Q251" s="1" t="str">
        <f t="shared" si="81"/>
        <v>A</v>
      </c>
    </row>
    <row r="252" spans="1:17" x14ac:dyDescent="0.3">
      <c r="A252" s="1" t="str">
        <f t="shared" si="80"/>
        <v>B</v>
      </c>
      <c r="B252" s="1" t="str">
        <f>"BLOODO+"</f>
        <v>BLOODO+</v>
      </c>
      <c r="C252" s="1" t="str">
        <f>"혈액형 O형(Rh+)"</f>
        <v>혈액형 O형(Rh+)</v>
      </c>
      <c r="D252" s="1" t="str">
        <f>"보호자 진술에 의하면 혈액형은 Rh+ O형입니다. 이번 학생검진에서는 혈액형 검사를 시행하지 않았습니다."</f>
        <v>보호자 진술에 의하면 혈액형은 Rh+ O형입니다. 이번 학생검진에서는 혈액형 검사를 시행하지 않았습니다.</v>
      </c>
      <c r="E252" s="1" t="str">
        <f>""</f>
        <v/>
      </c>
      <c r="F252" s="1" t="str">
        <f t="shared" si="83"/>
        <v>PTM00</v>
      </c>
      <c r="G252" s="1" t="str">
        <f>""</f>
        <v/>
      </c>
      <c r="H252" s="1" t="str">
        <f t="shared" si="84"/>
        <v>REL12</v>
      </c>
      <c r="I252" s="1" t="str">
        <f>""</f>
        <v/>
      </c>
      <c r="J252" s="1" t="str">
        <f>""</f>
        <v/>
      </c>
      <c r="K252" s="1" t="str">
        <f>""</f>
        <v/>
      </c>
      <c r="L252" s="1" t="str">
        <f t="shared" si="65"/>
        <v>R</v>
      </c>
      <c r="M252" s="1" t="str">
        <f t="shared" si="85"/>
        <v>T01</v>
      </c>
      <c r="N252" s="1" t="str">
        <f t="shared" si="82"/>
        <v>Y</v>
      </c>
      <c r="O252" s="1" t="str">
        <f t="shared" si="79"/>
        <v>Y</v>
      </c>
      <c r="P252" s="1" t="str">
        <f t="shared" si="68"/>
        <v>Y</v>
      </c>
      <c r="Q252" s="1" t="str">
        <f t="shared" si="81"/>
        <v>A</v>
      </c>
    </row>
    <row r="253" spans="1:17" x14ac:dyDescent="0.3">
      <c r="A253" s="1" t="str">
        <f t="shared" si="80"/>
        <v>B</v>
      </c>
      <c r="B253" s="1" t="str">
        <f>"BLOODO-"</f>
        <v>BLOODO-</v>
      </c>
      <c r="C253" s="1" t="str">
        <f>"혈액형 O형(Rh-)"</f>
        <v>혈액형 O형(Rh-)</v>
      </c>
      <c r="D253" s="1" t="str">
        <f>"보호자 진술에 의하면 혈액형은 Rh- O형입니다. 이번 학생검진에서는 혈액형 검사를 시행하지 않았습니다."</f>
        <v>보호자 진술에 의하면 혈액형은 Rh- O형입니다. 이번 학생검진에서는 혈액형 검사를 시행하지 않았습니다.</v>
      </c>
      <c r="E253" s="1" t="str">
        <f>""</f>
        <v/>
      </c>
      <c r="F253" s="1" t="str">
        <f t="shared" si="83"/>
        <v>PTM00</v>
      </c>
      <c r="G253" s="1" t="str">
        <f>""</f>
        <v/>
      </c>
      <c r="H253" s="1" t="str">
        <f t="shared" si="84"/>
        <v>REL12</v>
      </c>
      <c r="I253" s="1" t="str">
        <f>""</f>
        <v/>
      </c>
      <c r="J253" s="1" t="str">
        <f>""</f>
        <v/>
      </c>
      <c r="K253" s="1" t="str">
        <f>""</f>
        <v/>
      </c>
      <c r="L253" s="1" t="str">
        <f t="shared" si="65"/>
        <v>R</v>
      </c>
      <c r="M253" s="1" t="str">
        <f t="shared" si="85"/>
        <v>T01</v>
      </c>
      <c r="N253" s="1" t="str">
        <f t="shared" si="82"/>
        <v>Y</v>
      </c>
      <c r="O253" s="1" t="str">
        <f t="shared" si="79"/>
        <v>Y</v>
      </c>
      <c r="P253" s="1" t="str">
        <f t="shared" si="68"/>
        <v>Y</v>
      </c>
      <c r="Q253" s="1" t="str">
        <f t="shared" si="81"/>
        <v>A</v>
      </c>
    </row>
    <row r="254" spans="1:17" x14ac:dyDescent="0.3">
      <c r="A254" s="1" t="str">
        <f t="shared" si="80"/>
        <v>B</v>
      </c>
      <c r="B254" s="1" t="str">
        <f>"CSPB01"</f>
        <v>CSPB01</v>
      </c>
      <c r="C254" s="1" t="str">
        <f>"경추 퇴행성변화"</f>
        <v>경추 퇴행성변화</v>
      </c>
      <c r="D254" s="1" t="str">
        <f>"경추의 퇴행성 변화가 보입니다. 연령증가에 따른 변화로 병적상태 아닙니다. 경과관찰하시기 바랍니다."</f>
        <v>경추의 퇴행성 변화가 보입니다. 연령증가에 따른 변화로 병적상태 아닙니다. 경과관찰하시기 바랍니다.</v>
      </c>
      <c r="E254" s="1" t="str">
        <f t="shared" ref="E254:E261" si="86">"WOK01"</f>
        <v>WOK01</v>
      </c>
      <c r="F254" s="1" t="str">
        <f t="shared" si="83"/>
        <v>PTM00</v>
      </c>
      <c r="G254" s="1" t="str">
        <f t="shared" ref="G254:G261" si="87">"DISM"</f>
        <v>DISM</v>
      </c>
      <c r="H254" s="1" t="str">
        <f t="shared" ref="H254:H261" si="88">"REL22"</f>
        <v>REL22</v>
      </c>
      <c r="I254" s="1" t="str">
        <f>""</f>
        <v/>
      </c>
      <c r="J254" s="1" t="str">
        <f>""</f>
        <v/>
      </c>
      <c r="K254" s="1" t="str">
        <f>""</f>
        <v/>
      </c>
      <c r="L254" s="1" t="str">
        <f t="shared" si="65"/>
        <v>R</v>
      </c>
      <c r="M254" s="1" t="str">
        <f>""</f>
        <v/>
      </c>
      <c r="N254" s="1" t="str">
        <f t="shared" si="82"/>
        <v>Y</v>
      </c>
      <c r="O254" s="1" t="str">
        <f t="shared" si="79"/>
        <v>Y</v>
      </c>
      <c r="P254" s="1" t="str">
        <f t="shared" si="68"/>
        <v>Y</v>
      </c>
      <c r="Q254" s="1" t="str">
        <f t="shared" si="81"/>
        <v>A</v>
      </c>
    </row>
    <row r="255" spans="1:17" x14ac:dyDescent="0.3">
      <c r="A255" s="1" t="str">
        <f t="shared" si="80"/>
        <v>B</v>
      </c>
      <c r="B255" s="1" t="str">
        <f>"CSPB02"</f>
        <v>CSPB02</v>
      </c>
      <c r="C255" s="1" t="str">
        <f>"경추 추간판 협소"</f>
        <v>경추 추간판 협소</v>
      </c>
      <c r="D255" s="1" t="str">
        <f>"경추의 추간판 간격이 협소해 보입니다. 경과관찰하시기 바랍니다."</f>
        <v>경추의 추간판 간격이 협소해 보입니다. 경과관찰하시기 바랍니다.</v>
      </c>
      <c r="E255" s="1" t="str">
        <f t="shared" si="86"/>
        <v>WOK01</v>
      </c>
      <c r="F255" s="1" t="str">
        <f>""</f>
        <v/>
      </c>
      <c r="G255" s="1" t="str">
        <f t="shared" si="87"/>
        <v>DISM</v>
      </c>
      <c r="H255" s="1" t="str">
        <f t="shared" si="88"/>
        <v>REL22</v>
      </c>
      <c r="I255" s="1" t="str">
        <f>""</f>
        <v/>
      </c>
      <c r="J255" s="1" t="str">
        <f>""</f>
        <v/>
      </c>
      <c r="K255" s="1" t="str">
        <f>""</f>
        <v/>
      </c>
      <c r="L255" s="1" t="str">
        <f t="shared" si="65"/>
        <v>R</v>
      </c>
      <c r="M255" s="1" t="str">
        <f>""</f>
        <v/>
      </c>
      <c r="N255" s="1" t="str">
        <f t="shared" si="82"/>
        <v>Y</v>
      </c>
      <c r="O255" s="1" t="str">
        <f t="shared" si="79"/>
        <v>Y</v>
      </c>
      <c r="P255" s="1" t="str">
        <f t="shared" si="68"/>
        <v>Y</v>
      </c>
      <c r="Q255" s="1" t="str">
        <f t="shared" si="81"/>
        <v>A</v>
      </c>
    </row>
    <row r="256" spans="1:17" x14ac:dyDescent="0.3">
      <c r="A256" s="1" t="str">
        <f t="shared" si="80"/>
        <v>B</v>
      </c>
      <c r="B256" s="1" t="str">
        <f>"CSPB03"</f>
        <v>CSPB03</v>
      </c>
      <c r="C256" s="1" t="str">
        <f>"경추의 선천적 기형"</f>
        <v>경추의 선천적 기형</v>
      </c>
      <c r="D256" s="1" t="str">
        <f>"경추부의 선천적인 기형의 일종으로 건강에는 아무런 이상이 없습니다. 경과관찰하시기 바랍니다."</f>
        <v>경추부의 선천적인 기형의 일종으로 건강에는 아무런 이상이 없습니다. 경과관찰하시기 바랍니다.</v>
      </c>
      <c r="E256" s="1" t="str">
        <f t="shared" si="86"/>
        <v>WOK01</v>
      </c>
      <c r="F256" s="1" t="str">
        <f>""</f>
        <v/>
      </c>
      <c r="G256" s="1" t="str">
        <f t="shared" si="87"/>
        <v>DISM</v>
      </c>
      <c r="H256" s="1" t="str">
        <f t="shared" si="88"/>
        <v>REL22</v>
      </c>
      <c r="I256" s="1" t="str">
        <f>""</f>
        <v/>
      </c>
      <c r="J256" s="1" t="str">
        <f>""</f>
        <v/>
      </c>
      <c r="K256" s="1" t="str">
        <f>""</f>
        <v/>
      </c>
      <c r="L256" s="1" t="str">
        <f t="shared" si="65"/>
        <v>R</v>
      </c>
      <c r="M256" s="1" t="str">
        <f>""</f>
        <v/>
      </c>
      <c r="N256" s="1" t="str">
        <f t="shared" si="82"/>
        <v>Y</v>
      </c>
      <c r="O256" s="1" t="str">
        <f t="shared" si="79"/>
        <v>Y</v>
      </c>
      <c r="P256" s="1" t="str">
        <f t="shared" si="68"/>
        <v>Y</v>
      </c>
      <c r="Q256" s="1" t="str">
        <f t="shared" si="81"/>
        <v>A</v>
      </c>
    </row>
    <row r="257" spans="1:17" x14ac:dyDescent="0.3">
      <c r="A257" s="1" t="str">
        <f t="shared" si="80"/>
        <v>B</v>
      </c>
      <c r="B257" s="1" t="str">
        <f>"CSPB04"</f>
        <v>CSPB04</v>
      </c>
      <c r="C257" s="1" t="str">
        <f>"경추 측만증"</f>
        <v>경추 측만증</v>
      </c>
      <c r="D257" s="1" t="str">
        <f>"경추의 측만증 소견이 보입니다. 자세를 바르게 하시고 정기적으로 검사하시기 바랍니다."</f>
        <v>경추의 측만증 소견이 보입니다. 자세를 바르게 하시고 정기적으로 검사하시기 바랍니다.</v>
      </c>
      <c r="E257" s="1" t="str">
        <f t="shared" si="86"/>
        <v>WOK01</v>
      </c>
      <c r="F257" s="1" t="str">
        <f>""</f>
        <v/>
      </c>
      <c r="G257" s="1" t="str">
        <f t="shared" si="87"/>
        <v>DISM</v>
      </c>
      <c r="H257" s="1" t="str">
        <f t="shared" si="88"/>
        <v>REL22</v>
      </c>
      <c r="I257" s="1" t="str">
        <f>""</f>
        <v/>
      </c>
      <c r="J257" s="1" t="str">
        <f>""</f>
        <v/>
      </c>
      <c r="K257" s="1" t="str">
        <f>""</f>
        <v/>
      </c>
      <c r="L257" s="1" t="str">
        <f t="shared" si="65"/>
        <v>R</v>
      </c>
      <c r="M257" s="1" t="str">
        <f>""</f>
        <v/>
      </c>
      <c r="N257" s="1" t="str">
        <f t="shared" si="82"/>
        <v>Y</v>
      </c>
      <c r="O257" s="1" t="str">
        <f t="shared" si="79"/>
        <v>Y</v>
      </c>
      <c r="P257" s="1" t="str">
        <f t="shared" si="68"/>
        <v>Y</v>
      </c>
      <c r="Q257" s="1" t="str">
        <f t="shared" si="81"/>
        <v>A</v>
      </c>
    </row>
    <row r="258" spans="1:17" x14ac:dyDescent="0.3">
      <c r="A258" s="1" t="str">
        <f t="shared" si="80"/>
        <v>B</v>
      </c>
      <c r="B258" s="1" t="str">
        <f>"CSPB05"</f>
        <v>CSPB05</v>
      </c>
      <c r="C258" s="1" t="str">
        <f>"경추 수술흔적"</f>
        <v>경추 수술흔적</v>
      </c>
      <c r="D258" s="1" t="str">
        <f>"경추의 수술흔적이 보입니다. 중량물 및 고강도 작업을 주의하시고 경과관찰하시기 바랍니다."</f>
        <v>경추의 수술흔적이 보입니다. 중량물 및 고강도 작업을 주의하시고 경과관찰하시기 바랍니다.</v>
      </c>
      <c r="E258" s="1" t="str">
        <f t="shared" si="86"/>
        <v>WOK01</v>
      </c>
      <c r="F258" s="1" t="str">
        <f>""</f>
        <v/>
      </c>
      <c r="G258" s="1" t="str">
        <f t="shared" si="87"/>
        <v>DISM</v>
      </c>
      <c r="H258" s="1" t="str">
        <f t="shared" si="88"/>
        <v>REL22</v>
      </c>
      <c r="I258" s="1" t="str">
        <f>""</f>
        <v/>
      </c>
      <c r="J258" s="1" t="str">
        <f>""</f>
        <v/>
      </c>
      <c r="K258" s="1" t="str">
        <f>""</f>
        <v/>
      </c>
      <c r="L258" s="1" t="str">
        <f t="shared" ref="L258:L321" si="89">"R"</f>
        <v>R</v>
      </c>
      <c r="M258" s="1" t="str">
        <f>""</f>
        <v/>
      </c>
      <c r="N258" s="1" t="str">
        <f t="shared" si="82"/>
        <v>Y</v>
      </c>
      <c r="O258" s="1" t="str">
        <f t="shared" si="79"/>
        <v>Y</v>
      </c>
      <c r="P258" s="1" t="str">
        <f t="shared" si="68"/>
        <v>Y</v>
      </c>
      <c r="Q258" s="1" t="str">
        <f t="shared" si="81"/>
        <v>A</v>
      </c>
    </row>
    <row r="259" spans="1:17" x14ac:dyDescent="0.3">
      <c r="A259" s="1" t="str">
        <f t="shared" si="80"/>
        <v>B</v>
      </c>
      <c r="B259" s="1" t="str">
        <f>"CSPB06"</f>
        <v>CSPB06</v>
      </c>
      <c r="C259" s="1" t="str">
        <f>"경추 추간판탈출증 의심"</f>
        <v>경추 추간판탈출증 의심</v>
      </c>
      <c r="D259" s="1" t="str">
        <f>"경추 추간판탈출증 의심되어 보입니다. 목부위 통증 등의 이상 증상이 있을시 추적검사 및 의사 상담 받으시기 바랍니다."</f>
        <v>경추 추간판탈출증 의심되어 보입니다. 목부위 통증 등의 이상 증상이 있을시 추적검사 및 의사 상담 받으시기 바랍니다.</v>
      </c>
      <c r="E259" s="1" t="str">
        <f t="shared" si="86"/>
        <v>WOK01</v>
      </c>
      <c r="F259" s="1" t="str">
        <f>""</f>
        <v/>
      </c>
      <c r="G259" s="1" t="str">
        <f t="shared" si="87"/>
        <v>DISM</v>
      </c>
      <c r="H259" s="1" t="str">
        <f t="shared" si="88"/>
        <v>REL22</v>
      </c>
      <c r="I259" s="1" t="str">
        <f>""</f>
        <v/>
      </c>
      <c r="J259" s="1" t="str">
        <f>""</f>
        <v/>
      </c>
      <c r="K259" s="1" t="str">
        <f>""</f>
        <v/>
      </c>
      <c r="L259" s="1" t="str">
        <f t="shared" si="89"/>
        <v>R</v>
      </c>
      <c r="M259" s="1" t="str">
        <f>""</f>
        <v/>
      </c>
      <c r="N259" s="1" t="str">
        <f t="shared" si="82"/>
        <v>Y</v>
      </c>
      <c r="O259" s="1" t="str">
        <f t="shared" ref="O259:O290" si="90">"Y"</f>
        <v>Y</v>
      </c>
      <c r="P259" s="1" t="str">
        <f t="shared" si="68"/>
        <v>Y</v>
      </c>
      <c r="Q259" s="1" t="str">
        <f t="shared" si="81"/>
        <v>A</v>
      </c>
    </row>
    <row r="260" spans="1:17" x14ac:dyDescent="0.3">
      <c r="A260" s="1" t="str">
        <f t="shared" si="80"/>
        <v>B</v>
      </c>
      <c r="B260" s="1" t="str">
        <f>"CSPB07"</f>
        <v>CSPB07</v>
      </c>
      <c r="C260" s="1" t="str">
        <f>"경추관절 염증 의심"</f>
        <v>경추관절 염증 의심</v>
      </c>
      <c r="D260" s="1" t="str">
        <f>"경추 관철의 염증 의심 소견이 보입니다. 목의 통증 및 발열 동반시 의사상담 및 추적검사를 받으시기 바랍니다."</f>
        <v>경추 관철의 염증 의심 소견이 보입니다. 목의 통증 및 발열 동반시 의사상담 및 추적검사를 받으시기 바랍니다.</v>
      </c>
      <c r="E260" s="1" t="str">
        <f t="shared" si="86"/>
        <v>WOK01</v>
      </c>
      <c r="F260" s="1" t="str">
        <f>""</f>
        <v/>
      </c>
      <c r="G260" s="1" t="str">
        <f t="shared" si="87"/>
        <v>DISM</v>
      </c>
      <c r="H260" s="1" t="str">
        <f t="shared" si="88"/>
        <v>REL22</v>
      </c>
      <c r="I260" s="1" t="str">
        <f>""</f>
        <v/>
      </c>
      <c r="J260" s="1" t="str">
        <f>""</f>
        <v/>
      </c>
      <c r="K260" s="1" t="str">
        <f>""</f>
        <v/>
      </c>
      <c r="L260" s="1" t="str">
        <f t="shared" si="89"/>
        <v>R</v>
      </c>
      <c r="M260" s="1" t="str">
        <f>""</f>
        <v/>
      </c>
      <c r="N260" s="1" t="str">
        <f t="shared" si="82"/>
        <v>Y</v>
      </c>
      <c r="O260" s="1" t="str">
        <f t="shared" si="90"/>
        <v>Y</v>
      </c>
      <c r="P260" s="1" t="str">
        <f t="shared" si="68"/>
        <v>Y</v>
      </c>
      <c r="Q260" s="1" t="str">
        <f t="shared" si="81"/>
        <v>A</v>
      </c>
    </row>
    <row r="261" spans="1:17" x14ac:dyDescent="0.3">
      <c r="A261" s="1" t="str">
        <f t="shared" si="80"/>
        <v>B</v>
      </c>
      <c r="B261" s="1" t="str">
        <f>"CSPB08"</f>
        <v>CSPB08</v>
      </c>
      <c r="C261" s="1" t="str">
        <f>"경추 골절흔적"</f>
        <v>경추 골절흔적</v>
      </c>
      <c r="D261" s="1" t="str">
        <f>"경추의 골절흔적이 보입니다. 중량물 및 고강도 작업을 주의하시고 경과관찰하시기 바랍니다."</f>
        <v>경추의 골절흔적이 보입니다. 중량물 및 고강도 작업을 주의하시고 경과관찰하시기 바랍니다.</v>
      </c>
      <c r="E261" s="1" t="str">
        <f t="shared" si="86"/>
        <v>WOK01</v>
      </c>
      <c r="F261" s="1" t="str">
        <f>""</f>
        <v/>
      </c>
      <c r="G261" s="1" t="str">
        <f t="shared" si="87"/>
        <v>DISM</v>
      </c>
      <c r="H261" s="1" t="str">
        <f t="shared" si="88"/>
        <v>REL22</v>
      </c>
      <c r="I261" s="1" t="str">
        <f>""</f>
        <v/>
      </c>
      <c r="J261" s="1" t="str">
        <f>""</f>
        <v/>
      </c>
      <c r="K261" s="1" t="str">
        <f>""</f>
        <v/>
      </c>
      <c r="L261" s="1" t="str">
        <f t="shared" si="89"/>
        <v>R</v>
      </c>
      <c r="M261" s="1" t="str">
        <f>""</f>
        <v/>
      </c>
      <c r="N261" s="1" t="str">
        <f t="shared" si="82"/>
        <v>Y</v>
      </c>
      <c r="O261" s="1" t="str">
        <f t="shared" si="90"/>
        <v>Y</v>
      </c>
      <c r="P261" s="1" t="str">
        <f t="shared" si="68"/>
        <v>Y</v>
      </c>
      <c r="Q261" s="1" t="str">
        <f t="shared" si="81"/>
        <v>A</v>
      </c>
    </row>
    <row r="262" spans="1:17" x14ac:dyDescent="0.3">
      <c r="A262" s="1" t="str">
        <f t="shared" si="80"/>
        <v>B</v>
      </c>
      <c r="B262" s="1" t="str">
        <f>"DER401BB"</f>
        <v>DER401BB</v>
      </c>
      <c r="C262" s="1" t="str">
        <f>"접촉성피부염"</f>
        <v>접촉성피부염</v>
      </c>
      <c r="D262" s="1" t="str">
        <f>"원인물질을 피하시고 관련 증상시 피부과 진료 받으시기 바랍니다."</f>
        <v>원인물질을 피하시고 관련 증상시 피부과 진료 받으시기 바랍니다.</v>
      </c>
      <c r="E262" s="1" t="str">
        <f>""</f>
        <v/>
      </c>
      <c r="F262" s="1" t="str">
        <f>"PTM04"</f>
        <v>PTM04</v>
      </c>
      <c r="G262" s="1" t="str">
        <f>"DISL"</f>
        <v>DISL</v>
      </c>
      <c r="H262" s="1" t="str">
        <f>"REL13"</f>
        <v>REL13</v>
      </c>
      <c r="I262" s="1" t="str">
        <f>""</f>
        <v/>
      </c>
      <c r="J262" s="1" t="str">
        <f>""</f>
        <v/>
      </c>
      <c r="K262" s="1" t="str">
        <f>""</f>
        <v/>
      </c>
      <c r="L262" s="1" t="str">
        <f t="shared" si="89"/>
        <v>R</v>
      </c>
      <c r="M262" s="1" t="str">
        <f>"T08"</f>
        <v>T08</v>
      </c>
      <c r="N262" s="1" t="str">
        <f t="shared" si="82"/>
        <v>Y</v>
      </c>
      <c r="O262" s="1" t="str">
        <f t="shared" si="90"/>
        <v>Y</v>
      </c>
      <c r="P262" s="1" t="str">
        <f t="shared" si="68"/>
        <v>Y</v>
      </c>
      <c r="Q262" s="1" t="str">
        <f t="shared" si="81"/>
        <v>A</v>
      </c>
    </row>
    <row r="263" spans="1:17" x14ac:dyDescent="0.3">
      <c r="A263" s="1" t="str">
        <f t="shared" ref="A263:A294" si="91">"B"</f>
        <v>B</v>
      </c>
      <c r="B263" s="1" t="str">
        <f>"DER77"</f>
        <v>DER77</v>
      </c>
      <c r="C263" s="1" t="str">
        <f>"건선"</f>
        <v>건선</v>
      </c>
      <c r="D263" s="1" t="str">
        <f>"피부가 건조하지 않도록 환경을 개선하고 피부에는 보습제를 바르는 것이 좋습니다. 증상 시 피부과 진료 받으시기 바랍니다."</f>
        <v>피부가 건조하지 않도록 환경을 개선하고 피부에는 보습제를 바르는 것이 좋습니다. 증상 시 피부과 진료 받으시기 바랍니다.</v>
      </c>
      <c r="E263" s="1" t="str">
        <f>""</f>
        <v/>
      </c>
      <c r="F263" s="1" t="str">
        <f>"PTM04"</f>
        <v>PTM04</v>
      </c>
      <c r="G263" s="1" t="str">
        <f>"DISL"</f>
        <v>DISL</v>
      </c>
      <c r="H263" s="1" t="str">
        <f>"REL13"</f>
        <v>REL13</v>
      </c>
      <c r="I263" s="1" t="str">
        <f>""</f>
        <v/>
      </c>
      <c r="J263" s="1" t="str">
        <f>""</f>
        <v/>
      </c>
      <c r="K263" s="1" t="str">
        <f>""</f>
        <v/>
      </c>
      <c r="L263" s="1" t="str">
        <f t="shared" si="89"/>
        <v>R</v>
      </c>
      <c r="M263" s="1" t="str">
        <f>"T08"</f>
        <v>T08</v>
      </c>
      <c r="N263" s="1" t="str">
        <f t="shared" si="82"/>
        <v>Y</v>
      </c>
      <c r="O263" s="1" t="str">
        <f t="shared" si="90"/>
        <v>Y</v>
      </c>
      <c r="P263" s="1" t="str">
        <f t="shared" si="68"/>
        <v>Y</v>
      </c>
      <c r="Q263" s="1" t="str">
        <f t="shared" si="81"/>
        <v>A</v>
      </c>
    </row>
    <row r="264" spans="1:17" x14ac:dyDescent="0.3">
      <c r="A264" s="1" t="str">
        <f t="shared" si="91"/>
        <v>B</v>
      </c>
      <c r="B264" s="1" t="str">
        <f>"DER777"</f>
        <v>DER777</v>
      </c>
      <c r="C264" s="1" t="str">
        <f>"음식알레르기"</f>
        <v>음식알레르기</v>
      </c>
      <c r="D264" s="1" t="str">
        <f>"알레르기 질환은 원인물질 회피가 중요합니다. 관련증상시 진료 통하여 관리하시기 바랍니다."</f>
        <v>알레르기 질환은 원인물질 회피가 중요합니다. 관련증상시 진료 통하여 관리하시기 바랍니다.</v>
      </c>
      <c r="E264" s="1" t="str">
        <f>""</f>
        <v/>
      </c>
      <c r="F264" s="1" t="str">
        <f>"PTM04"</f>
        <v>PTM04</v>
      </c>
      <c r="G264" s="1" t="str">
        <f>"DISL"</f>
        <v>DISL</v>
      </c>
      <c r="H264" s="1" t="str">
        <f>"REL13"</f>
        <v>REL13</v>
      </c>
      <c r="I264" s="1" t="str">
        <f>""</f>
        <v/>
      </c>
      <c r="J264" s="1" t="str">
        <f>""</f>
        <v/>
      </c>
      <c r="K264" s="1" t="str">
        <f>""</f>
        <v/>
      </c>
      <c r="L264" s="1" t="str">
        <f t="shared" si="89"/>
        <v>R</v>
      </c>
      <c r="M264" s="1" t="str">
        <f>"T08"</f>
        <v>T08</v>
      </c>
      <c r="N264" s="1" t="str">
        <f t="shared" si="82"/>
        <v>Y</v>
      </c>
      <c r="O264" s="1" t="str">
        <f t="shared" si="90"/>
        <v>Y</v>
      </c>
      <c r="P264" s="1" t="str">
        <f t="shared" si="68"/>
        <v>Y</v>
      </c>
      <c r="Q264" s="1" t="str">
        <f t="shared" si="81"/>
        <v>A</v>
      </c>
    </row>
    <row r="265" spans="1:17" x14ac:dyDescent="0.3">
      <c r="A265" s="1" t="str">
        <f t="shared" si="91"/>
        <v>B</v>
      </c>
      <c r="B265" s="1" t="str">
        <f>"DMD201"</f>
        <v>DMD201</v>
      </c>
      <c r="C265" s="1" t="str">
        <f>"공복혈당장애"</f>
        <v>공복혈당장애</v>
      </c>
      <c r="D265" s="1" t="s">
        <v>53</v>
      </c>
      <c r="E265" s="1" t="str">
        <f>"WOK01"</f>
        <v>WOK01</v>
      </c>
      <c r="F265" s="1" t="str">
        <f>"PTM01"</f>
        <v>PTM01</v>
      </c>
      <c r="G265" s="1" t="str">
        <f>"DISE"</f>
        <v>DISE</v>
      </c>
      <c r="H265" s="1" t="str">
        <f>"REL07"</f>
        <v>REL07</v>
      </c>
      <c r="I265" s="1" t="str">
        <f>""</f>
        <v/>
      </c>
      <c r="J265" s="1" t="str">
        <f>"C06A"</f>
        <v>C06A</v>
      </c>
      <c r="K265" s="1" t="str">
        <f>"C06A"</f>
        <v>C06A</v>
      </c>
      <c r="L265" s="1" t="str">
        <f t="shared" si="89"/>
        <v>R</v>
      </c>
      <c r="M265" s="1" t="str">
        <f>"T03"</f>
        <v>T03</v>
      </c>
      <c r="N265" s="1" t="str">
        <f t="shared" ref="N265:N296" si="92">"Y"</f>
        <v>Y</v>
      </c>
      <c r="O265" s="1" t="str">
        <f t="shared" si="90"/>
        <v>Y</v>
      </c>
      <c r="P265" s="1" t="str">
        <f t="shared" si="68"/>
        <v>Y</v>
      </c>
      <c r="Q265" s="1" t="str">
        <f t="shared" si="81"/>
        <v>A</v>
      </c>
    </row>
    <row r="266" spans="1:17" x14ac:dyDescent="0.3">
      <c r="A266" s="1" t="str">
        <f t="shared" si="91"/>
        <v>B</v>
      </c>
      <c r="B266" s="1" t="str">
        <f>"DUTEST"</f>
        <v>DUTEST</v>
      </c>
      <c r="C266" s="1" t="str">
        <f>"Rh 혈액형 재확인 필요"</f>
        <v>Rh 혈액형 재확인 필요</v>
      </c>
      <c r="D266" s="1" t="str">
        <f>"Rh 혈액형이 희귀한 형태일 가능성이 있습니다(D항원 약양성). 다시 확인해 보시기 바랍니다(Du test)."</f>
        <v>Rh 혈액형이 희귀한 형태일 가능성이 있습니다(D항원 약양성). 다시 확인해 보시기 바랍니다(Du test).</v>
      </c>
      <c r="E266" s="1" t="str">
        <f>""</f>
        <v/>
      </c>
      <c r="F266" s="1" t="str">
        <f>""</f>
        <v/>
      </c>
      <c r="G266" s="1" t="str">
        <f>""</f>
        <v/>
      </c>
      <c r="H266" s="1" t="str">
        <f>""</f>
        <v/>
      </c>
      <c r="I266" s="1" t="str">
        <f>""</f>
        <v/>
      </c>
      <c r="J266" s="1" t="str">
        <f>""</f>
        <v/>
      </c>
      <c r="K266" s="1" t="str">
        <f>""</f>
        <v/>
      </c>
      <c r="L266" s="1" t="str">
        <f t="shared" si="89"/>
        <v>R</v>
      </c>
      <c r="M266" s="1" t="str">
        <f>""</f>
        <v/>
      </c>
      <c r="N266" s="1" t="str">
        <f t="shared" si="92"/>
        <v>Y</v>
      </c>
      <c r="O266" s="1" t="str">
        <f t="shared" si="90"/>
        <v>Y</v>
      </c>
      <c r="P266" s="1" t="str">
        <f t="shared" ref="P266:P329" si="93">"Y"</f>
        <v>Y</v>
      </c>
      <c r="Q266" s="1" t="str">
        <f t="shared" si="81"/>
        <v>A</v>
      </c>
    </row>
    <row r="267" spans="1:17" x14ac:dyDescent="0.3">
      <c r="A267" s="1" t="str">
        <f t="shared" si="91"/>
        <v>B</v>
      </c>
      <c r="B267" s="1" t="str">
        <f>"EMP302"</f>
        <v>EMP302</v>
      </c>
      <c r="C267" s="1" t="str">
        <f>"공복혈당장애"</f>
        <v>공복혈당장애</v>
      </c>
      <c r="D267" s="1" t="s">
        <v>54</v>
      </c>
      <c r="E267" s="1" t="str">
        <f>"WOK01"</f>
        <v>WOK01</v>
      </c>
      <c r="F267" s="1" t="str">
        <f>"PTM01"</f>
        <v>PTM01</v>
      </c>
      <c r="G267" s="1" t="str">
        <f>"DISE"</f>
        <v>DISE</v>
      </c>
      <c r="H267" s="1" t="str">
        <f>"REL07"</f>
        <v>REL07</v>
      </c>
      <c r="I267" s="1" t="str">
        <f>""</f>
        <v/>
      </c>
      <c r="J267" s="1" t="str">
        <f>"C06A"</f>
        <v>C06A</v>
      </c>
      <c r="K267" s="1" t="str">
        <f>"C06A"</f>
        <v>C06A</v>
      </c>
      <c r="L267" s="1" t="str">
        <f t="shared" si="89"/>
        <v>R</v>
      </c>
      <c r="M267" s="1" t="str">
        <f>"T03"</f>
        <v>T03</v>
      </c>
      <c r="N267" s="1" t="str">
        <f t="shared" si="92"/>
        <v>Y</v>
      </c>
      <c r="O267" s="1" t="str">
        <f t="shared" si="90"/>
        <v>Y</v>
      </c>
      <c r="P267" s="1" t="str">
        <f t="shared" si="93"/>
        <v>Y</v>
      </c>
      <c r="Q267" s="1" t="str">
        <f t="shared" si="81"/>
        <v>A</v>
      </c>
    </row>
    <row r="268" spans="1:17" x14ac:dyDescent="0.3">
      <c r="A268" s="1" t="str">
        <f t="shared" si="91"/>
        <v>B</v>
      </c>
      <c r="B268" s="1" t="str">
        <f>"EMPX14"</f>
        <v>EMPX14</v>
      </c>
      <c r="C268" s="1" t="str">
        <f>"요추부 추간판 공간 협소"</f>
        <v>요추부 추간판 공간 협소</v>
      </c>
      <c r="D268" s="1" t="s">
        <v>55</v>
      </c>
      <c r="E268" s="1" t="str">
        <f>"WOK01"</f>
        <v>WOK01</v>
      </c>
      <c r="F268" s="1" t="str">
        <f>""</f>
        <v/>
      </c>
      <c r="G268" s="1" t="str">
        <f>"DISM"</f>
        <v>DISM</v>
      </c>
      <c r="H268" s="1" t="str">
        <f>"REL22"</f>
        <v>REL22</v>
      </c>
      <c r="I268" s="1" t="str">
        <f>""</f>
        <v/>
      </c>
      <c r="J268" s="1" t="str">
        <f>""</f>
        <v/>
      </c>
      <c r="K268" s="1" t="str">
        <f>""</f>
        <v/>
      </c>
      <c r="L268" s="1" t="str">
        <f t="shared" si="89"/>
        <v>R</v>
      </c>
      <c r="M268" s="1" t="str">
        <f>""</f>
        <v/>
      </c>
      <c r="N268" s="1" t="str">
        <f t="shared" si="92"/>
        <v>Y</v>
      </c>
      <c r="O268" s="1" t="str">
        <f t="shared" si="90"/>
        <v>Y</v>
      </c>
      <c r="P268" s="1" t="str">
        <f t="shared" si="93"/>
        <v>Y</v>
      </c>
      <c r="Q268" s="1" t="str">
        <f t="shared" si="81"/>
        <v>A</v>
      </c>
    </row>
    <row r="269" spans="1:17" x14ac:dyDescent="0.3">
      <c r="A269" s="1" t="str">
        <f t="shared" si="91"/>
        <v>B</v>
      </c>
      <c r="B269" s="1" t="str">
        <f>"GNAL02"</f>
        <v>GNAL02</v>
      </c>
      <c r="C269" s="1" t="str">
        <f>"이상지질혈증 주의"</f>
        <v>이상지질혈증 주의</v>
      </c>
      <c r="D269" s="1" t="s">
        <v>56</v>
      </c>
      <c r="E269" s="1" t="str">
        <f>"WOK01"</f>
        <v>WOK01</v>
      </c>
      <c r="F269" s="1" t="str">
        <f>"PTM00"</f>
        <v>PTM00</v>
      </c>
      <c r="G269" s="1" t="str">
        <f>"DISE"</f>
        <v>DISE</v>
      </c>
      <c r="H269" s="1" t="str">
        <f>"REL04"</f>
        <v>REL04</v>
      </c>
      <c r="I269" s="1" t="str">
        <f>""</f>
        <v/>
      </c>
      <c r="J269" s="1" t="str">
        <f>"C04C"</f>
        <v>C04C</v>
      </c>
      <c r="K269" s="1" t="str">
        <f>"C04C"</f>
        <v>C04C</v>
      </c>
      <c r="L269" s="1" t="str">
        <f t="shared" si="89"/>
        <v>R</v>
      </c>
      <c r="M269" s="1" t="str">
        <f>"T03"</f>
        <v>T03</v>
      </c>
      <c r="N269" s="1" t="str">
        <f t="shared" si="92"/>
        <v>Y</v>
      </c>
      <c r="O269" s="1" t="str">
        <f t="shared" si="90"/>
        <v>Y</v>
      </c>
      <c r="P269" s="1" t="str">
        <f t="shared" si="93"/>
        <v>Y</v>
      </c>
      <c r="Q269" s="1" t="str">
        <f t="shared" si="81"/>
        <v>A</v>
      </c>
    </row>
    <row r="270" spans="1:17" x14ac:dyDescent="0.3">
      <c r="A270" s="1" t="str">
        <f t="shared" si="91"/>
        <v>B</v>
      </c>
      <c r="B270" s="1" t="str">
        <f>"GNBMD02"</f>
        <v>GNBMD02</v>
      </c>
      <c r="C270" s="1" t="str">
        <f>"골감소증"</f>
        <v>골감소증</v>
      </c>
      <c r="D270" s="1" t="str">
        <f>"골절 위험에 대한 상담이 필요합니다. 가까운 병/의원을 방문하여 진료를 받으십시오. 칼슘 및 비타민 D 섭취를 권장합니다."</f>
        <v>골절 위험에 대한 상담이 필요합니다. 가까운 병/의원을 방문하여 진료를 받으십시오. 칼슘 및 비타민 D 섭취를 권장합니다.</v>
      </c>
      <c r="E270" s="1" t="str">
        <f>"WOK02"</f>
        <v>WOK02</v>
      </c>
      <c r="F270" s="1" t="str">
        <f>"PTM01"</f>
        <v>PTM01</v>
      </c>
      <c r="G270" s="1" t="str">
        <f>"DISM"</f>
        <v>DISM</v>
      </c>
      <c r="H270" s="1" t="str">
        <f>"REL22"</f>
        <v>REL22</v>
      </c>
      <c r="I270" s="1" t="str">
        <f>""</f>
        <v/>
      </c>
      <c r="J270" s="1" t="str">
        <f>"C43C"</f>
        <v>C43C</v>
      </c>
      <c r="K270" s="1" t="str">
        <f>"C43C"</f>
        <v>C43C</v>
      </c>
      <c r="L270" s="1" t="str">
        <f t="shared" si="89"/>
        <v>R</v>
      </c>
      <c r="M270" s="1" t="str">
        <f>""</f>
        <v/>
      </c>
      <c r="N270" s="1" t="str">
        <f t="shared" si="92"/>
        <v>Y</v>
      </c>
      <c r="O270" s="1" t="str">
        <f t="shared" si="90"/>
        <v>Y</v>
      </c>
      <c r="P270" s="1" t="str">
        <f t="shared" si="93"/>
        <v>Y</v>
      </c>
      <c r="Q270" s="1" t="str">
        <f t="shared" si="81"/>
        <v>A</v>
      </c>
    </row>
    <row r="271" spans="1:17" x14ac:dyDescent="0.3">
      <c r="A271" s="1" t="str">
        <f t="shared" si="91"/>
        <v>B</v>
      </c>
      <c r="B271" s="1" t="str">
        <f>"GNBMI02"</f>
        <v>GNBMI02</v>
      </c>
      <c r="C271" s="1" t="str">
        <f>"저체중"</f>
        <v>저체중</v>
      </c>
      <c r="D271" s="1" t="str">
        <f>"저체중입니다. 적절한 영양섭취를 통해 적정 체중을 유지하시기 바랍니다."</f>
        <v>저체중입니다. 적절한 영양섭취를 통해 적정 체중을 유지하시기 바랍니다.</v>
      </c>
      <c r="E271" s="1" t="str">
        <f>"WOK01"</f>
        <v>WOK01</v>
      </c>
      <c r="F271" s="1" t="str">
        <f>"PTM00"</f>
        <v>PTM00</v>
      </c>
      <c r="G271" s="1" t="str">
        <f>"DISE"</f>
        <v>DISE</v>
      </c>
      <c r="H271" s="1" t="str">
        <f>"REL34"</f>
        <v>REL34</v>
      </c>
      <c r="I271" s="1" t="str">
        <f>""</f>
        <v/>
      </c>
      <c r="J271" s="1" t="str">
        <f>"C54C"</f>
        <v>C54C</v>
      </c>
      <c r="K271" s="1" t="str">
        <f>"C54C"</f>
        <v>C54C</v>
      </c>
      <c r="L271" s="1" t="str">
        <f t="shared" si="89"/>
        <v>R</v>
      </c>
      <c r="M271" s="1" t="str">
        <f>"T21"</f>
        <v>T21</v>
      </c>
      <c r="N271" s="1" t="str">
        <f t="shared" si="92"/>
        <v>Y</v>
      </c>
      <c r="O271" s="1" t="str">
        <f t="shared" si="90"/>
        <v>Y</v>
      </c>
      <c r="P271" s="1" t="str">
        <f t="shared" si="93"/>
        <v>Y</v>
      </c>
      <c r="Q271" s="1" t="str">
        <f t="shared" si="81"/>
        <v>A</v>
      </c>
    </row>
    <row r="272" spans="1:17" x14ac:dyDescent="0.3">
      <c r="A272" s="1" t="str">
        <f t="shared" si="91"/>
        <v>B</v>
      </c>
      <c r="B272" s="1" t="str">
        <f>"GNBMI03"</f>
        <v>GNBMI03</v>
      </c>
      <c r="C272" s="1" t="str">
        <f>"과체중"</f>
        <v>과체중</v>
      </c>
      <c r="D272" s="1" t="str">
        <f>"과체중입니다. 비만은 각종 심뇌혈관 질환의 위험요인입니다. 규칙적인 운동 및 식이조절을 통해 체중을 줄이시기 바랍니다."</f>
        <v>과체중입니다. 비만은 각종 심뇌혈관 질환의 위험요인입니다. 규칙적인 운동 및 식이조절을 통해 체중을 줄이시기 바랍니다.</v>
      </c>
      <c r="E272" s="1" t="str">
        <f>"WOK01"</f>
        <v>WOK01</v>
      </c>
      <c r="F272" s="1" t="str">
        <f>"PTM01"</f>
        <v>PTM01</v>
      </c>
      <c r="G272" s="1" t="str">
        <f>"DISE"</f>
        <v>DISE</v>
      </c>
      <c r="H272" s="1" t="str">
        <f>"REL10"</f>
        <v>REL10</v>
      </c>
      <c r="I272" s="1" t="str">
        <f>""</f>
        <v/>
      </c>
      <c r="J272" s="1" t="str">
        <f>"C35A"</f>
        <v>C35A</v>
      </c>
      <c r="K272" s="1" t="str">
        <f>"C35A"</f>
        <v>C35A</v>
      </c>
      <c r="L272" s="1" t="str">
        <f t="shared" si="89"/>
        <v>R</v>
      </c>
      <c r="M272" s="1" t="str">
        <f>"T03"</f>
        <v>T03</v>
      </c>
      <c r="N272" s="1" t="str">
        <f t="shared" si="92"/>
        <v>Y</v>
      </c>
      <c r="O272" s="1" t="str">
        <f t="shared" si="90"/>
        <v>Y</v>
      </c>
      <c r="P272" s="1" t="str">
        <f t="shared" si="93"/>
        <v>Y</v>
      </c>
      <c r="Q272" s="1" t="str">
        <f t="shared" si="81"/>
        <v>A</v>
      </c>
    </row>
    <row r="273" spans="1:17" x14ac:dyDescent="0.3">
      <c r="A273" s="1" t="str">
        <f t="shared" si="91"/>
        <v>B</v>
      </c>
      <c r="B273" s="1" t="str">
        <f>"GNCA12502"</f>
        <v>GNCA12502</v>
      </c>
      <c r="C273" s="1" t="str">
        <f>"CA-125 상승"</f>
        <v>CA-125 상승</v>
      </c>
      <c r="D273" s="1" t="s">
        <v>57</v>
      </c>
      <c r="E273" s="1" t="str">
        <f>""</f>
        <v/>
      </c>
      <c r="F273" s="1" t="str">
        <f>""</f>
        <v/>
      </c>
      <c r="G273" s="1" t="str">
        <f>""</f>
        <v/>
      </c>
      <c r="H273" s="1" t="str">
        <f>""</f>
        <v/>
      </c>
      <c r="I273" s="1" t="str">
        <f>""</f>
        <v/>
      </c>
      <c r="J273" s="1" t="str">
        <f>""</f>
        <v/>
      </c>
      <c r="K273" s="1" t="str">
        <f>""</f>
        <v/>
      </c>
      <c r="L273" s="1" t="str">
        <f t="shared" si="89"/>
        <v>R</v>
      </c>
      <c r="M273" s="1" t="str">
        <f>""</f>
        <v/>
      </c>
      <c r="N273" s="1" t="str">
        <f t="shared" si="92"/>
        <v>Y</v>
      </c>
      <c r="O273" s="1" t="str">
        <f t="shared" si="90"/>
        <v>Y</v>
      </c>
      <c r="P273" s="1" t="str">
        <f t="shared" si="93"/>
        <v>Y</v>
      </c>
      <c r="Q273" s="1" t="str">
        <f t="shared" si="81"/>
        <v>A</v>
      </c>
    </row>
    <row r="274" spans="1:17" x14ac:dyDescent="0.3">
      <c r="A274" s="1" t="str">
        <f t="shared" si="91"/>
        <v>B</v>
      </c>
      <c r="B274" s="1" t="str">
        <f>"GNCA1902"</f>
        <v>GNCA1902</v>
      </c>
      <c r="C274" s="1" t="str">
        <f>"CA19-9 상승"</f>
        <v>CA19-9 상승</v>
      </c>
      <c r="D274" s="1" t="s">
        <v>58</v>
      </c>
      <c r="E274" s="1" t="str">
        <f>""</f>
        <v/>
      </c>
      <c r="F274" s="1" t="str">
        <f>""</f>
        <v/>
      </c>
      <c r="G274" s="1" t="str">
        <f>""</f>
        <v/>
      </c>
      <c r="H274" s="1" t="str">
        <f>""</f>
        <v/>
      </c>
      <c r="I274" s="1" t="str">
        <f>""</f>
        <v/>
      </c>
      <c r="J274" s="1" t="str">
        <f>""</f>
        <v/>
      </c>
      <c r="K274" s="1" t="str">
        <f>""</f>
        <v/>
      </c>
      <c r="L274" s="1" t="str">
        <f t="shared" si="89"/>
        <v>R</v>
      </c>
      <c r="M274" s="1" t="str">
        <f>""</f>
        <v/>
      </c>
      <c r="N274" s="1" t="str">
        <f t="shared" si="92"/>
        <v>Y</v>
      </c>
      <c r="O274" s="1" t="str">
        <f t="shared" si="90"/>
        <v>Y</v>
      </c>
      <c r="P274" s="1" t="str">
        <f t="shared" si="93"/>
        <v>Y</v>
      </c>
      <c r="Q274" s="1" t="str">
        <f t="shared" si="81"/>
        <v>A</v>
      </c>
    </row>
    <row r="275" spans="1:17" x14ac:dyDescent="0.3">
      <c r="A275" s="1" t="str">
        <f t="shared" si="91"/>
        <v>B</v>
      </c>
      <c r="B275" s="1" t="str">
        <f>"GNCEA02"</f>
        <v>GNCEA02</v>
      </c>
      <c r="C275" s="1" t="str">
        <f>"CEA 경미한 상승"</f>
        <v>CEA 경미한 상승</v>
      </c>
      <c r="D275" s="1" t="s">
        <v>59</v>
      </c>
      <c r="E275" s="1" t="str">
        <f>""</f>
        <v/>
      </c>
      <c r="F275" s="1" t="str">
        <f>""</f>
        <v/>
      </c>
      <c r="G275" s="1" t="str">
        <f>""</f>
        <v/>
      </c>
      <c r="H275" s="1" t="str">
        <f>""</f>
        <v/>
      </c>
      <c r="I275" s="1" t="str">
        <f>""</f>
        <v/>
      </c>
      <c r="J275" s="1" t="str">
        <f>""</f>
        <v/>
      </c>
      <c r="K275" s="1" t="str">
        <f>""</f>
        <v/>
      </c>
      <c r="L275" s="1" t="str">
        <f t="shared" si="89"/>
        <v>R</v>
      </c>
      <c r="M275" s="1" t="str">
        <f>""</f>
        <v/>
      </c>
      <c r="N275" s="1" t="str">
        <f t="shared" si="92"/>
        <v>Y</v>
      </c>
      <c r="O275" s="1" t="str">
        <f t="shared" si="90"/>
        <v>Y</v>
      </c>
      <c r="P275" s="1" t="str">
        <f t="shared" si="93"/>
        <v>Y</v>
      </c>
      <c r="Q275" s="1" t="str">
        <f t="shared" si="81"/>
        <v>A</v>
      </c>
    </row>
    <row r="276" spans="1:17" x14ac:dyDescent="0.3">
      <c r="A276" s="1" t="str">
        <f t="shared" si="91"/>
        <v>B</v>
      </c>
      <c r="B276" s="1" t="str">
        <f>"GNCEA03"</f>
        <v>GNCEA03</v>
      </c>
      <c r="C276" s="1" t="str">
        <f>"CEA 상승"</f>
        <v>CEA 상승</v>
      </c>
      <c r="D276" s="1" t="s">
        <v>60</v>
      </c>
      <c r="E276" s="1" t="str">
        <f>""</f>
        <v/>
      </c>
      <c r="F276" s="1" t="str">
        <f>""</f>
        <v/>
      </c>
      <c r="G276" s="1" t="str">
        <f>""</f>
        <v/>
      </c>
      <c r="H276" s="1" t="str">
        <f>""</f>
        <v/>
      </c>
      <c r="I276" s="1" t="str">
        <f>""</f>
        <v/>
      </c>
      <c r="J276" s="1" t="str">
        <f>""</f>
        <v/>
      </c>
      <c r="K276" s="1" t="str">
        <f>""</f>
        <v/>
      </c>
      <c r="L276" s="1" t="str">
        <f t="shared" si="89"/>
        <v>R</v>
      </c>
      <c r="M276" s="1" t="str">
        <f>""</f>
        <v/>
      </c>
      <c r="N276" s="1" t="str">
        <f t="shared" si="92"/>
        <v>Y</v>
      </c>
      <c r="O276" s="1" t="str">
        <f t="shared" si="90"/>
        <v>Y</v>
      </c>
      <c r="P276" s="1" t="str">
        <f t="shared" si="93"/>
        <v>Y</v>
      </c>
      <c r="Q276" s="1" t="str">
        <f t="shared" si="81"/>
        <v>A</v>
      </c>
    </row>
    <row r="277" spans="1:17" x14ac:dyDescent="0.3">
      <c r="A277" s="1" t="str">
        <f t="shared" si="91"/>
        <v>B</v>
      </c>
      <c r="B277" s="1" t="str">
        <f>"GNCHOL03"</f>
        <v>GNCHOL03</v>
      </c>
      <c r="C277" s="1" t="str">
        <f t="shared" ref="C277:C282" si="94">"이상지질혈증 주의"</f>
        <v>이상지질혈증 주의</v>
      </c>
      <c r="D277" s="1" t="s">
        <v>61</v>
      </c>
      <c r="E277" s="1" t="str">
        <f t="shared" ref="E277:E283" si="95">"WOK01"</f>
        <v>WOK01</v>
      </c>
      <c r="F277" s="1" t="str">
        <f t="shared" ref="F277:F283" si="96">"PTM00"</f>
        <v>PTM00</v>
      </c>
      <c r="G277" s="1" t="str">
        <f t="shared" ref="G277:G284" si="97">"DISE"</f>
        <v>DISE</v>
      </c>
      <c r="H277" s="1" t="str">
        <f t="shared" ref="H277:H284" si="98">"REL04"</f>
        <v>REL04</v>
      </c>
      <c r="I277" s="1" t="str">
        <f>""</f>
        <v/>
      </c>
      <c r="J277" s="1" t="str">
        <f t="shared" ref="J277:K283" si="99">"C04C"</f>
        <v>C04C</v>
      </c>
      <c r="K277" s="1" t="str">
        <f t="shared" si="99"/>
        <v>C04C</v>
      </c>
      <c r="L277" s="1" t="str">
        <f t="shared" si="89"/>
        <v>R</v>
      </c>
      <c r="M277" s="1" t="str">
        <f t="shared" ref="M277:M284" si="100">"T03"</f>
        <v>T03</v>
      </c>
      <c r="N277" s="1" t="str">
        <f t="shared" si="92"/>
        <v>Y</v>
      </c>
      <c r="O277" s="1" t="str">
        <f t="shared" si="90"/>
        <v>Y</v>
      </c>
      <c r="P277" s="1" t="str">
        <f t="shared" si="93"/>
        <v>Y</v>
      </c>
      <c r="Q277" s="1" t="str">
        <f t="shared" si="81"/>
        <v>A</v>
      </c>
    </row>
    <row r="278" spans="1:17" x14ac:dyDescent="0.3">
      <c r="A278" s="1" t="str">
        <f t="shared" si="91"/>
        <v>B</v>
      </c>
      <c r="B278" s="1" t="str">
        <f>"GNCHOL04"</f>
        <v>GNCHOL04</v>
      </c>
      <c r="C278" s="1" t="str">
        <f t="shared" si="94"/>
        <v>이상지질혈증 주의</v>
      </c>
      <c r="D278" s="1" t="s">
        <v>62</v>
      </c>
      <c r="E278" s="1" t="str">
        <f t="shared" si="95"/>
        <v>WOK01</v>
      </c>
      <c r="F278" s="1" t="str">
        <f t="shared" si="96"/>
        <v>PTM00</v>
      </c>
      <c r="G278" s="1" t="str">
        <f t="shared" si="97"/>
        <v>DISE</v>
      </c>
      <c r="H278" s="1" t="str">
        <f t="shared" si="98"/>
        <v>REL04</v>
      </c>
      <c r="I278" s="1" t="str">
        <f>""</f>
        <v/>
      </c>
      <c r="J278" s="1" t="str">
        <f t="shared" si="99"/>
        <v>C04C</v>
      </c>
      <c r="K278" s="1" t="str">
        <f t="shared" si="99"/>
        <v>C04C</v>
      </c>
      <c r="L278" s="1" t="str">
        <f t="shared" si="89"/>
        <v>R</v>
      </c>
      <c r="M278" s="1" t="str">
        <f t="shared" si="100"/>
        <v>T03</v>
      </c>
      <c r="N278" s="1" t="str">
        <f t="shared" si="92"/>
        <v>Y</v>
      </c>
      <c r="O278" s="1" t="str">
        <f t="shared" si="90"/>
        <v>Y</v>
      </c>
      <c r="P278" s="1" t="str">
        <f t="shared" si="93"/>
        <v>Y</v>
      </c>
      <c r="Q278" s="1" t="str">
        <f t="shared" si="81"/>
        <v>A</v>
      </c>
    </row>
    <row r="279" spans="1:17" x14ac:dyDescent="0.3">
      <c r="A279" s="1" t="str">
        <f t="shared" si="91"/>
        <v>B</v>
      </c>
      <c r="B279" s="1" t="str">
        <f>"GNCHOL06"</f>
        <v>GNCHOL06</v>
      </c>
      <c r="C279" s="1" t="str">
        <f t="shared" si="94"/>
        <v>이상지질혈증 주의</v>
      </c>
      <c r="D279" s="1" t="s">
        <v>63</v>
      </c>
      <c r="E279" s="1" t="str">
        <f t="shared" si="95"/>
        <v>WOK01</v>
      </c>
      <c r="F279" s="1" t="str">
        <f t="shared" si="96"/>
        <v>PTM00</v>
      </c>
      <c r="G279" s="1" t="str">
        <f t="shared" si="97"/>
        <v>DISE</v>
      </c>
      <c r="H279" s="1" t="str">
        <f t="shared" si="98"/>
        <v>REL04</v>
      </c>
      <c r="I279" s="1" t="str">
        <f>""</f>
        <v/>
      </c>
      <c r="J279" s="1" t="str">
        <f t="shared" si="99"/>
        <v>C04C</v>
      </c>
      <c r="K279" s="1" t="str">
        <f t="shared" si="99"/>
        <v>C04C</v>
      </c>
      <c r="L279" s="1" t="str">
        <f t="shared" si="89"/>
        <v>R</v>
      </c>
      <c r="M279" s="1" t="str">
        <f t="shared" si="100"/>
        <v>T03</v>
      </c>
      <c r="N279" s="1" t="str">
        <f t="shared" si="92"/>
        <v>Y</v>
      </c>
      <c r="O279" s="1" t="str">
        <f t="shared" si="90"/>
        <v>Y</v>
      </c>
      <c r="P279" s="1" t="str">
        <f t="shared" si="93"/>
        <v>Y</v>
      </c>
      <c r="Q279" s="1" t="str">
        <f t="shared" si="81"/>
        <v>A</v>
      </c>
    </row>
    <row r="280" spans="1:17" x14ac:dyDescent="0.3">
      <c r="A280" s="1" t="str">
        <f t="shared" si="91"/>
        <v>B</v>
      </c>
      <c r="B280" s="1" t="str">
        <f>"GNCHOL07"</f>
        <v>GNCHOL07</v>
      </c>
      <c r="C280" s="1" t="str">
        <f t="shared" si="94"/>
        <v>이상지질혈증 주의</v>
      </c>
      <c r="D280" s="1" t="s">
        <v>64</v>
      </c>
      <c r="E280" s="1" t="str">
        <f t="shared" si="95"/>
        <v>WOK01</v>
      </c>
      <c r="F280" s="1" t="str">
        <f t="shared" si="96"/>
        <v>PTM00</v>
      </c>
      <c r="G280" s="1" t="str">
        <f t="shared" si="97"/>
        <v>DISE</v>
      </c>
      <c r="H280" s="1" t="str">
        <f t="shared" si="98"/>
        <v>REL04</v>
      </c>
      <c r="I280" s="1" t="str">
        <f>""</f>
        <v/>
      </c>
      <c r="J280" s="1" t="str">
        <f t="shared" si="99"/>
        <v>C04C</v>
      </c>
      <c r="K280" s="1" t="str">
        <f t="shared" si="99"/>
        <v>C04C</v>
      </c>
      <c r="L280" s="1" t="str">
        <f t="shared" si="89"/>
        <v>R</v>
      </c>
      <c r="M280" s="1" t="str">
        <f t="shared" si="100"/>
        <v>T03</v>
      </c>
      <c r="N280" s="1" t="str">
        <f t="shared" si="92"/>
        <v>Y</v>
      </c>
      <c r="O280" s="1" t="str">
        <f t="shared" si="90"/>
        <v>Y</v>
      </c>
      <c r="P280" s="1" t="str">
        <f t="shared" si="93"/>
        <v>Y</v>
      </c>
      <c r="Q280" s="1" t="str">
        <f t="shared" si="81"/>
        <v>A</v>
      </c>
    </row>
    <row r="281" spans="1:17" x14ac:dyDescent="0.3">
      <c r="A281" s="1" t="str">
        <f t="shared" si="91"/>
        <v>B</v>
      </c>
      <c r="B281" s="1" t="str">
        <f>"GNCHOL08"</f>
        <v>GNCHOL08</v>
      </c>
      <c r="C281" s="1" t="str">
        <f t="shared" si="94"/>
        <v>이상지질혈증 주의</v>
      </c>
      <c r="D281" s="1" t="s">
        <v>65</v>
      </c>
      <c r="E281" s="1" t="str">
        <f t="shared" si="95"/>
        <v>WOK01</v>
      </c>
      <c r="F281" s="1" t="str">
        <f t="shared" si="96"/>
        <v>PTM00</v>
      </c>
      <c r="G281" s="1" t="str">
        <f t="shared" si="97"/>
        <v>DISE</v>
      </c>
      <c r="H281" s="1" t="str">
        <f t="shared" si="98"/>
        <v>REL04</v>
      </c>
      <c r="I281" s="1" t="str">
        <f>""</f>
        <v/>
      </c>
      <c r="J281" s="1" t="str">
        <f t="shared" si="99"/>
        <v>C04C</v>
      </c>
      <c r="K281" s="1" t="str">
        <f t="shared" si="99"/>
        <v>C04C</v>
      </c>
      <c r="L281" s="1" t="str">
        <f t="shared" si="89"/>
        <v>R</v>
      </c>
      <c r="M281" s="1" t="str">
        <f t="shared" si="100"/>
        <v>T03</v>
      </c>
      <c r="N281" s="1" t="str">
        <f t="shared" si="92"/>
        <v>Y</v>
      </c>
      <c r="O281" s="1" t="str">
        <f t="shared" si="90"/>
        <v>Y</v>
      </c>
      <c r="P281" s="1" t="str">
        <f t="shared" si="93"/>
        <v>Y</v>
      </c>
      <c r="Q281" s="1" t="str">
        <f t="shared" si="81"/>
        <v>A</v>
      </c>
    </row>
    <row r="282" spans="1:17" x14ac:dyDescent="0.3">
      <c r="A282" s="1" t="str">
        <f t="shared" si="91"/>
        <v>B</v>
      </c>
      <c r="B282" s="1" t="str">
        <f>"GNCHOL09"</f>
        <v>GNCHOL09</v>
      </c>
      <c r="C282" s="1" t="str">
        <f t="shared" si="94"/>
        <v>이상지질혈증 주의</v>
      </c>
      <c r="D282" s="1" t="s">
        <v>66</v>
      </c>
      <c r="E282" s="1" t="str">
        <f t="shared" si="95"/>
        <v>WOK01</v>
      </c>
      <c r="F282" s="1" t="str">
        <f t="shared" si="96"/>
        <v>PTM00</v>
      </c>
      <c r="G282" s="1" t="str">
        <f t="shared" si="97"/>
        <v>DISE</v>
      </c>
      <c r="H282" s="1" t="str">
        <f t="shared" si="98"/>
        <v>REL04</v>
      </c>
      <c r="I282" s="1" t="str">
        <f>""</f>
        <v/>
      </c>
      <c r="J282" s="1" t="str">
        <f t="shared" si="99"/>
        <v>C04C</v>
      </c>
      <c r="K282" s="1" t="str">
        <f t="shared" si="99"/>
        <v>C04C</v>
      </c>
      <c r="L282" s="1" t="str">
        <f t="shared" si="89"/>
        <v>R</v>
      </c>
      <c r="M282" s="1" t="str">
        <f t="shared" si="100"/>
        <v>T03</v>
      </c>
      <c r="N282" s="1" t="str">
        <f t="shared" si="92"/>
        <v>Y</v>
      </c>
      <c r="O282" s="1" t="str">
        <f t="shared" si="90"/>
        <v>Y</v>
      </c>
      <c r="P282" s="1" t="str">
        <f t="shared" si="93"/>
        <v>Y</v>
      </c>
      <c r="Q282" s="1" t="str">
        <f t="shared" si="81"/>
        <v>A</v>
      </c>
    </row>
    <row r="283" spans="1:17" x14ac:dyDescent="0.3">
      <c r="A283" s="1" t="str">
        <f t="shared" si="91"/>
        <v>B</v>
      </c>
      <c r="B283" s="1" t="str">
        <f>"GNHDL02"</f>
        <v>GNHDL02</v>
      </c>
      <c r="C283" s="1" t="str">
        <f>"(HDL 콜레스테롤) 경도 감소"</f>
        <v>(HDL 콜레스테롤) 경도 감소</v>
      </c>
      <c r="D283" s="1" t="s">
        <v>67</v>
      </c>
      <c r="E283" s="1" t="str">
        <f t="shared" si="95"/>
        <v>WOK01</v>
      </c>
      <c r="F283" s="1" t="str">
        <f t="shared" si="96"/>
        <v>PTM00</v>
      </c>
      <c r="G283" s="1" t="str">
        <f t="shared" si="97"/>
        <v>DISE</v>
      </c>
      <c r="H283" s="1" t="str">
        <f t="shared" si="98"/>
        <v>REL04</v>
      </c>
      <c r="I283" s="1" t="str">
        <f>""</f>
        <v/>
      </c>
      <c r="J283" s="1" t="str">
        <f t="shared" si="99"/>
        <v>C04C</v>
      </c>
      <c r="K283" s="1" t="str">
        <f t="shared" si="99"/>
        <v>C04C</v>
      </c>
      <c r="L283" s="1" t="str">
        <f t="shared" si="89"/>
        <v>R</v>
      </c>
      <c r="M283" s="1" t="str">
        <f t="shared" si="100"/>
        <v>T03</v>
      </c>
      <c r="N283" s="1" t="str">
        <f t="shared" si="92"/>
        <v>Y</v>
      </c>
      <c r="O283" s="1" t="str">
        <f t="shared" si="90"/>
        <v>Y</v>
      </c>
      <c r="P283" s="1" t="str">
        <f t="shared" si="93"/>
        <v>Y</v>
      </c>
      <c r="Q283" s="1" t="str">
        <f t="shared" si="81"/>
        <v>A</v>
      </c>
    </row>
    <row r="284" spans="1:17" x14ac:dyDescent="0.3">
      <c r="A284" s="1" t="str">
        <f t="shared" si="91"/>
        <v>B</v>
      </c>
      <c r="B284" s="1" t="str">
        <f>"GNHDL03"</f>
        <v>GNHDL03</v>
      </c>
      <c r="C284" s="1" t="str">
        <f>"(HDL 콜레스테롤) 감소"</f>
        <v>(HDL 콜레스테롤) 감소</v>
      </c>
      <c r="D284" s="1" t="s">
        <v>68</v>
      </c>
      <c r="E284" s="1" t="str">
        <f>"WOK02"</f>
        <v>WOK02</v>
      </c>
      <c r="F284" s="1" t="str">
        <f>"PTM01"</f>
        <v>PTM01</v>
      </c>
      <c r="G284" s="1" t="str">
        <f t="shared" si="97"/>
        <v>DISE</v>
      </c>
      <c r="H284" s="1" t="str">
        <f t="shared" si="98"/>
        <v>REL04</v>
      </c>
      <c r="I284" s="1" t="str">
        <f>""</f>
        <v/>
      </c>
      <c r="J284" s="1" t="str">
        <f>""</f>
        <v/>
      </c>
      <c r="K284" s="1" t="str">
        <f>""</f>
        <v/>
      </c>
      <c r="L284" s="1" t="str">
        <f t="shared" si="89"/>
        <v>R</v>
      </c>
      <c r="M284" s="1" t="str">
        <f t="shared" si="100"/>
        <v>T03</v>
      </c>
      <c r="N284" s="1" t="str">
        <f t="shared" si="92"/>
        <v>Y</v>
      </c>
      <c r="O284" s="1" t="str">
        <f t="shared" si="90"/>
        <v>Y</v>
      </c>
      <c r="P284" s="1" t="str">
        <f t="shared" si="93"/>
        <v>Y</v>
      </c>
      <c r="Q284" s="1" t="str">
        <f t="shared" si="81"/>
        <v>A</v>
      </c>
    </row>
    <row r="285" spans="1:17" x14ac:dyDescent="0.3">
      <c r="A285" s="1" t="str">
        <f t="shared" si="91"/>
        <v>B</v>
      </c>
      <c r="B285" s="1" t="str">
        <f>"GNHEM02"</f>
        <v>GNHEM02</v>
      </c>
      <c r="C285" s="1" t="str">
        <f>"빈혈 주의"</f>
        <v>빈혈 주의</v>
      </c>
      <c r="D285" s="1" t="str">
        <f>"철분과 단백질이 풍부한 음식을 섭취하고 주기적인 추적관찰 바랍니다."</f>
        <v>철분과 단백질이 풍부한 음식을 섭취하고 주기적인 추적관찰 바랍니다.</v>
      </c>
      <c r="E285" s="1" t="str">
        <f t="shared" ref="E285:E290" si="101">"WOK01"</f>
        <v>WOK01</v>
      </c>
      <c r="F285" s="1" t="str">
        <f>"PTM011"</f>
        <v>PTM011</v>
      </c>
      <c r="G285" s="1" t="str">
        <f>"DISD"</f>
        <v>DISD</v>
      </c>
      <c r="H285" s="1" t="str">
        <f>"REL12"</f>
        <v>REL12</v>
      </c>
      <c r="I285" s="1" t="str">
        <f>""</f>
        <v/>
      </c>
      <c r="J285" s="1" t="str">
        <f t="shared" ref="J285:K287" si="102">"S01A"</f>
        <v>S01A</v>
      </c>
      <c r="K285" s="1" t="str">
        <f t="shared" si="102"/>
        <v>S01A</v>
      </c>
      <c r="L285" s="1" t="str">
        <f t="shared" si="89"/>
        <v>R</v>
      </c>
      <c r="M285" s="1" t="str">
        <f>"T01"</f>
        <v>T01</v>
      </c>
      <c r="N285" s="1" t="str">
        <f t="shared" si="92"/>
        <v>Y</v>
      </c>
      <c r="O285" s="1" t="str">
        <f t="shared" si="90"/>
        <v>Y</v>
      </c>
      <c r="P285" s="1" t="str">
        <f t="shared" si="93"/>
        <v>Y</v>
      </c>
      <c r="Q285" s="1" t="str">
        <f t="shared" si="81"/>
        <v>A</v>
      </c>
    </row>
    <row r="286" spans="1:17" x14ac:dyDescent="0.3">
      <c r="A286" s="1" t="str">
        <f t="shared" si="91"/>
        <v>B</v>
      </c>
      <c r="B286" s="1" t="str">
        <f>"GNHEM04"</f>
        <v>GNHEM04</v>
      </c>
      <c r="C286" s="1" t="str">
        <f>"혈색소 증가"</f>
        <v>혈색소 증가</v>
      </c>
      <c r="D286" s="1" t="str">
        <f>"혈색소 증가는 탈수나 장기간의 흡연에 의해 나타날 수 있습니다. 정기적으로 검진 받으시고 지속적으로 증가하는 경우에는 혈액내과 진료를 받으시기 바랍니다."</f>
        <v>혈색소 증가는 탈수나 장기간의 흡연에 의해 나타날 수 있습니다. 정기적으로 검진 받으시고 지속적으로 증가하는 경우에는 혈액내과 진료를 받으시기 바랍니다.</v>
      </c>
      <c r="E286" s="1" t="str">
        <f t="shared" si="101"/>
        <v>WOK01</v>
      </c>
      <c r="F286" s="1" t="str">
        <f>"PTM00"</f>
        <v>PTM00</v>
      </c>
      <c r="G286" s="1" t="str">
        <f>"DISD"</f>
        <v>DISD</v>
      </c>
      <c r="H286" s="1" t="str">
        <f>"REL12"</f>
        <v>REL12</v>
      </c>
      <c r="I286" s="1" t="str">
        <f>""</f>
        <v/>
      </c>
      <c r="J286" s="1" t="str">
        <f t="shared" si="102"/>
        <v>S01A</v>
      </c>
      <c r="K286" s="1" t="str">
        <f t="shared" si="102"/>
        <v>S01A</v>
      </c>
      <c r="L286" s="1" t="str">
        <f t="shared" si="89"/>
        <v>R</v>
      </c>
      <c r="M286" s="1" t="str">
        <f>"T01"</f>
        <v>T01</v>
      </c>
      <c r="N286" s="1" t="str">
        <f t="shared" si="92"/>
        <v>Y</v>
      </c>
      <c r="O286" s="1" t="str">
        <f t="shared" si="90"/>
        <v>Y</v>
      </c>
      <c r="P286" s="1" t="str">
        <f t="shared" si="93"/>
        <v>Y</v>
      </c>
      <c r="Q286" s="1" t="str">
        <f t="shared" si="81"/>
        <v>A</v>
      </c>
    </row>
    <row r="287" spans="1:17" x14ac:dyDescent="0.3">
      <c r="A287" s="1" t="str">
        <f t="shared" si="91"/>
        <v>B</v>
      </c>
      <c r="B287" s="1" t="str">
        <f>"GNHEM05"</f>
        <v>GNHEM05</v>
      </c>
      <c r="C287" s="1" t="str">
        <f>"혈색소 경미 증가"</f>
        <v>혈색소 경미 증가</v>
      </c>
      <c r="D287" s="1" t="s">
        <v>69</v>
      </c>
      <c r="E287" s="1" t="str">
        <f t="shared" si="101"/>
        <v>WOK01</v>
      </c>
      <c r="F287" s="1" t="str">
        <f>"PTM00"</f>
        <v>PTM00</v>
      </c>
      <c r="G287" s="1" t="str">
        <f>"DISD"</f>
        <v>DISD</v>
      </c>
      <c r="H287" s="1" t="str">
        <f>"REL12"</f>
        <v>REL12</v>
      </c>
      <c r="I287" s="1" t="str">
        <f>""</f>
        <v/>
      </c>
      <c r="J287" s="1" t="str">
        <f t="shared" si="102"/>
        <v>S01A</v>
      </c>
      <c r="K287" s="1" t="str">
        <f t="shared" si="102"/>
        <v>S01A</v>
      </c>
      <c r="L287" s="1" t="str">
        <f t="shared" si="89"/>
        <v>R</v>
      </c>
      <c r="M287" s="1" t="str">
        <f>"T01"</f>
        <v>T01</v>
      </c>
      <c r="N287" s="1" t="str">
        <f t="shared" si="92"/>
        <v>Y</v>
      </c>
      <c r="O287" s="1" t="str">
        <f t="shared" si="90"/>
        <v>Y</v>
      </c>
      <c r="P287" s="1" t="str">
        <f t="shared" si="93"/>
        <v>Y</v>
      </c>
      <c r="Q287" s="1" t="str">
        <f t="shared" si="81"/>
        <v>A</v>
      </c>
    </row>
    <row r="288" spans="1:17" x14ac:dyDescent="0.3">
      <c r="A288" s="1" t="str">
        <f t="shared" si="91"/>
        <v>B</v>
      </c>
      <c r="B288" s="1" t="str">
        <f>"GNLDL02"</f>
        <v>GNLDL02</v>
      </c>
      <c r="C288" s="1" t="str">
        <f>"(LDL 콜레스테롤) 경도 증가"</f>
        <v>(LDL 콜레스테롤) 경도 증가</v>
      </c>
      <c r="D288" s="1" t="s">
        <v>70</v>
      </c>
      <c r="E288" s="1" t="str">
        <f t="shared" si="101"/>
        <v>WOK01</v>
      </c>
      <c r="F288" s="1" t="str">
        <f>"PTM00"</f>
        <v>PTM00</v>
      </c>
      <c r="G288" s="1" t="str">
        <f>"DISE"</f>
        <v>DISE</v>
      </c>
      <c r="H288" s="1" t="str">
        <f>"REL04"</f>
        <v>REL04</v>
      </c>
      <c r="I288" s="1" t="str">
        <f>""</f>
        <v/>
      </c>
      <c r="J288" s="1" t="str">
        <f>"C04C"</f>
        <v>C04C</v>
      </c>
      <c r="K288" s="1" t="str">
        <f>"C04C"</f>
        <v>C04C</v>
      </c>
      <c r="L288" s="1" t="str">
        <f t="shared" si="89"/>
        <v>R</v>
      </c>
      <c r="M288" s="1" t="str">
        <f>"T03"</f>
        <v>T03</v>
      </c>
      <c r="N288" s="1" t="str">
        <f t="shared" si="92"/>
        <v>Y</v>
      </c>
      <c r="O288" s="1" t="str">
        <f t="shared" si="90"/>
        <v>Y</v>
      </c>
      <c r="P288" s="1" t="str">
        <f t="shared" si="93"/>
        <v>Y</v>
      </c>
      <c r="Q288" s="1" t="str">
        <f t="shared" si="81"/>
        <v>A</v>
      </c>
    </row>
    <row r="289" spans="1:17" x14ac:dyDescent="0.3">
      <c r="A289" s="1" t="str">
        <f t="shared" si="91"/>
        <v>B</v>
      </c>
      <c r="B289" s="1" t="str">
        <f>"GNLEG02"</f>
        <v>GNLEG02</v>
      </c>
      <c r="C289" s="1" t="str">
        <f>"신체기능저하(경계)"</f>
        <v>신체기능저하(경계)</v>
      </c>
      <c r="D289" s="1" t="str">
        <f>"낙상의 고위험군입니다. 교육자료를 참고하여 낙상에 주의하십시오."</f>
        <v>낙상의 고위험군입니다. 교육자료를 참고하여 낙상에 주의하십시오.</v>
      </c>
      <c r="E289" s="1" t="str">
        <f t="shared" si="101"/>
        <v>WOK01</v>
      </c>
      <c r="F289" s="1" t="str">
        <f>"PTM01"</f>
        <v>PTM01</v>
      </c>
      <c r="G289" s="1" t="str">
        <f>"DISM"</f>
        <v>DISM</v>
      </c>
      <c r="H289" s="1" t="str">
        <f>"REL22"</f>
        <v>REL22</v>
      </c>
      <c r="I289" s="1" t="str">
        <f>""</f>
        <v/>
      </c>
      <c r="J289" s="1" t="str">
        <f>"N01A"</f>
        <v>N01A</v>
      </c>
      <c r="K289" s="1" t="str">
        <f>"N01C"</f>
        <v>N01C</v>
      </c>
      <c r="L289" s="1" t="str">
        <f t="shared" si="89"/>
        <v>R</v>
      </c>
      <c r="M289" s="1" t="str">
        <f>"T19"</f>
        <v>T19</v>
      </c>
      <c r="N289" s="1" t="str">
        <f t="shared" si="92"/>
        <v>Y</v>
      </c>
      <c r="O289" s="1" t="str">
        <f t="shared" si="90"/>
        <v>Y</v>
      </c>
      <c r="P289" s="1" t="str">
        <f t="shared" si="93"/>
        <v>Y</v>
      </c>
      <c r="Q289" s="1" t="str">
        <f t="shared" si="81"/>
        <v>A</v>
      </c>
    </row>
    <row r="290" spans="1:17" x14ac:dyDescent="0.3">
      <c r="A290" s="1" t="str">
        <f t="shared" si="91"/>
        <v>B</v>
      </c>
      <c r="B290" s="1" t="str">
        <f>"GNLFT002"</f>
        <v>GNLFT002</v>
      </c>
      <c r="C290" s="1" t="str">
        <f>"경미한 간기능 이상"</f>
        <v>경미한 간기능 이상</v>
      </c>
      <c r="D290" s="1" t="str">
        <f>"경미한 간수치 증가 소견이 있습니다. 특별한 증상이 없다면 경과 관찰하시고 다음 정기검진시 변화 여부를 확인하시기 바랍니다."</f>
        <v>경미한 간수치 증가 소견이 있습니다. 특별한 증상이 없다면 경과 관찰하시고 다음 정기검진시 변화 여부를 확인하시기 바랍니다.</v>
      </c>
      <c r="E290" s="1" t="str">
        <f t="shared" si="101"/>
        <v>WOK01</v>
      </c>
      <c r="F290" s="1" t="str">
        <f>"PTM00"</f>
        <v>PTM00</v>
      </c>
      <c r="G290" s="1" t="str">
        <f>"DISK"</f>
        <v>DISK</v>
      </c>
      <c r="H290" s="1" t="str">
        <f>"REL05"</f>
        <v>REL05</v>
      </c>
      <c r="I290" s="1" t="str">
        <f>""</f>
        <v/>
      </c>
      <c r="J290" s="1" t="str">
        <f>"C01A"</f>
        <v>C01A</v>
      </c>
      <c r="K290" s="1" t="str">
        <f>"C01A"</f>
        <v>C01A</v>
      </c>
      <c r="L290" s="1" t="str">
        <f t="shared" si="89"/>
        <v>R</v>
      </c>
      <c r="M290" s="1" t="str">
        <f>"T02"</f>
        <v>T02</v>
      </c>
      <c r="N290" s="1" t="str">
        <f t="shared" si="92"/>
        <v>Y</v>
      </c>
      <c r="O290" s="1" t="str">
        <f t="shared" si="90"/>
        <v>Y</v>
      </c>
      <c r="P290" s="1" t="str">
        <f t="shared" si="93"/>
        <v>Y</v>
      </c>
      <c r="Q290" s="1" t="str">
        <f t="shared" si="81"/>
        <v>A</v>
      </c>
    </row>
    <row r="291" spans="1:17" x14ac:dyDescent="0.3">
      <c r="A291" s="1" t="str">
        <f t="shared" si="91"/>
        <v>B</v>
      </c>
      <c r="B291" s="1" t="str">
        <f>"GNPSA02"</f>
        <v>GNPSA02</v>
      </c>
      <c r="C291" s="1" t="str">
        <f>"PSA 상승"</f>
        <v>PSA 상승</v>
      </c>
      <c r="D291" s="1" t="s">
        <v>71</v>
      </c>
      <c r="E291" s="1" t="str">
        <f>""</f>
        <v/>
      </c>
      <c r="F291" s="1" t="str">
        <f>""</f>
        <v/>
      </c>
      <c r="G291" s="1" t="str">
        <f>""</f>
        <v/>
      </c>
      <c r="H291" s="1" t="str">
        <f>""</f>
        <v/>
      </c>
      <c r="I291" s="1" t="str">
        <f>""</f>
        <v/>
      </c>
      <c r="J291" s="1" t="str">
        <f>""</f>
        <v/>
      </c>
      <c r="K291" s="1" t="str">
        <f>""</f>
        <v/>
      </c>
      <c r="L291" s="1" t="str">
        <f t="shared" si="89"/>
        <v>R</v>
      </c>
      <c r="M291" s="1" t="str">
        <f>""</f>
        <v/>
      </c>
      <c r="N291" s="1" t="str">
        <f t="shared" si="92"/>
        <v>Y</v>
      </c>
      <c r="O291" s="1" t="str">
        <f t="shared" ref="O291:O322" si="103">"Y"</f>
        <v>Y</v>
      </c>
      <c r="P291" s="1" t="str">
        <f t="shared" si="93"/>
        <v>Y</v>
      </c>
      <c r="Q291" s="1" t="str">
        <f t="shared" si="81"/>
        <v>A</v>
      </c>
    </row>
    <row r="292" spans="1:17" x14ac:dyDescent="0.3">
      <c r="A292" s="1" t="str">
        <f t="shared" si="91"/>
        <v>B</v>
      </c>
      <c r="B292" s="1" t="str">
        <f>"GNTCH02"</f>
        <v>GNTCH02</v>
      </c>
      <c r="C292" s="1" t="str">
        <f>"(총콜레스테롤) 경도 증가"</f>
        <v>(총콜레스테롤) 경도 증가</v>
      </c>
      <c r="D292" s="1" t="s">
        <v>72</v>
      </c>
      <c r="E292" s="1" t="str">
        <f>"WOK01"</f>
        <v>WOK01</v>
      </c>
      <c r="F292" s="1" t="str">
        <f>"PTM00"</f>
        <v>PTM00</v>
      </c>
      <c r="G292" s="1" t="str">
        <f>"DISE"</f>
        <v>DISE</v>
      </c>
      <c r="H292" s="1" t="str">
        <f>"REL04"</f>
        <v>REL04</v>
      </c>
      <c r="I292" s="1" t="str">
        <f>""</f>
        <v/>
      </c>
      <c r="J292" s="1" t="str">
        <f>"C04C"</f>
        <v>C04C</v>
      </c>
      <c r="K292" s="1" t="str">
        <f>"C04C"</f>
        <v>C04C</v>
      </c>
      <c r="L292" s="1" t="str">
        <f t="shared" si="89"/>
        <v>R</v>
      </c>
      <c r="M292" s="1" t="str">
        <f>"T03"</f>
        <v>T03</v>
      </c>
      <c r="N292" s="1" t="str">
        <f t="shared" si="92"/>
        <v>Y</v>
      </c>
      <c r="O292" s="1" t="str">
        <f t="shared" si="103"/>
        <v>Y</v>
      </c>
      <c r="P292" s="1" t="str">
        <f t="shared" si="93"/>
        <v>Y</v>
      </c>
      <c r="Q292" s="1" t="str">
        <f t="shared" si="81"/>
        <v>A</v>
      </c>
    </row>
    <row r="293" spans="1:17" x14ac:dyDescent="0.3">
      <c r="A293" s="1" t="str">
        <f t="shared" si="91"/>
        <v>B</v>
      </c>
      <c r="B293" s="1" t="str">
        <f>"GNTG02"</f>
        <v>GNTG02</v>
      </c>
      <c r="C293" s="1" t="str">
        <f>"(중성지방) 경도 증가"</f>
        <v>(중성지방) 경도 증가</v>
      </c>
      <c r="D293" s="1" t="s">
        <v>73</v>
      </c>
      <c r="E293" s="1" t="str">
        <f>"WOK01"</f>
        <v>WOK01</v>
      </c>
      <c r="F293" s="1" t="str">
        <f>"PTM00"</f>
        <v>PTM00</v>
      </c>
      <c r="G293" s="1" t="str">
        <f>"DISE"</f>
        <v>DISE</v>
      </c>
      <c r="H293" s="1" t="str">
        <f>"REL04"</f>
        <v>REL04</v>
      </c>
      <c r="I293" s="1" t="str">
        <f>""</f>
        <v/>
      </c>
      <c r="J293" s="1" t="str">
        <f>"C04C"</f>
        <v>C04C</v>
      </c>
      <c r="K293" s="1" t="str">
        <f>"C04C"</f>
        <v>C04C</v>
      </c>
      <c r="L293" s="1" t="str">
        <f t="shared" si="89"/>
        <v>R</v>
      </c>
      <c r="M293" s="1" t="str">
        <f>"T03"</f>
        <v>T03</v>
      </c>
      <c r="N293" s="1" t="str">
        <f t="shared" si="92"/>
        <v>Y</v>
      </c>
      <c r="O293" s="1" t="str">
        <f t="shared" si="103"/>
        <v>Y</v>
      </c>
      <c r="P293" s="1" t="str">
        <f t="shared" si="93"/>
        <v>Y</v>
      </c>
      <c r="Q293" s="1" t="str">
        <f t="shared" si="81"/>
        <v>A</v>
      </c>
    </row>
    <row r="294" spans="1:17" x14ac:dyDescent="0.3">
      <c r="A294" s="1" t="str">
        <f t="shared" si="91"/>
        <v>B</v>
      </c>
      <c r="B294" s="1" t="str">
        <f>"GNX013"</f>
        <v>GNX013</v>
      </c>
      <c r="C294" s="1" t="str">
        <f>"비활동성 폐결핵"</f>
        <v>비활동성 폐결핵</v>
      </c>
      <c r="D294" s="1" t="s">
        <v>74</v>
      </c>
      <c r="E294" s="1" t="str">
        <f>"WOK01"</f>
        <v>WOK01</v>
      </c>
      <c r="F294" s="1" t="str">
        <f>"PTM01"</f>
        <v>PTM01</v>
      </c>
      <c r="G294" s="1" t="str">
        <f>"DISJ"</f>
        <v>DISJ</v>
      </c>
      <c r="H294" s="1" t="str">
        <f>"REL01"</f>
        <v>REL01</v>
      </c>
      <c r="I294" s="1" t="str">
        <f>""</f>
        <v/>
      </c>
      <c r="J294" s="1" t="str">
        <f>"C01A"</f>
        <v>C01A</v>
      </c>
      <c r="K294" s="1" t="str">
        <f>"C01A"</f>
        <v>C01A</v>
      </c>
      <c r="L294" s="1" t="str">
        <f t="shared" si="89"/>
        <v>R</v>
      </c>
      <c r="M294" s="1" t="str">
        <f>"T04"</f>
        <v>T04</v>
      </c>
      <c r="N294" s="1" t="str">
        <f t="shared" si="92"/>
        <v>Y</v>
      </c>
      <c r="O294" s="1" t="str">
        <f t="shared" si="103"/>
        <v>Y</v>
      </c>
      <c r="P294" s="1" t="str">
        <f t="shared" si="93"/>
        <v>Y</v>
      </c>
      <c r="Q294" s="1" t="str">
        <f t="shared" si="81"/>
        <v>A</v>
      </c>
    </row>
    <row r="295" spans="1:17" x14ac:dyDescent="0.3">
      <c r="A295" s="1" t="str">
        <f t="shared" ref="A295:A326" si="104">"B"</f>
        <v>B</v>
      </c>
      <c r="B295" s="1" t="str">
        <f>"HEP201"</f>
        <v>HEP201</v>
      </c>
      <c r="C295" s="1" t="str">
        <f>"경미한 간기능이상"</f>
        <v>경미한 간기능이상</v>
      </c>
      <c r="D295" s="1" t="str">
        <f>"정상범위를 크게 벗어나지 않는 경미한 간수치의 상승이 있습니다. 정기검진 받으시기 바랍니다."</f>
        <v>정상범위를 크게 벗어나지 않는 경미한 간수치의 상승이 있습니다. 정기검진 받으시기 바랍니다.</v>
      </c>
      <c r="E295" s="1" t="str">
        <f>"WOK01"</f>
        <v>WOK01</v>
      </c>
      <c r="F295" s="1" t="str">
        <f>"PTM00"</f>
        <v>PTM00</v>
      </c>
      <c r="G295" s="1" t="str">
        <f>"DISK"</f>
        <v>DISK</v>
      </c>
      <c r="H295" s="1" t="str">
        <f>"REL05"</f>
        <v>REL05</v>
      </c>
      <c r="I295" s="1" t="str">
        <f>""</f>
        <v/>
      </c>
      <c r="J295" s="1" t="str">
        <f>"C01A"</f>
        <v>C01A</v>
      </c>
      <c r="K295" s="1" t="str">
        <f>"C01A"</f>
        <v>C01A</v>
      </c>
      <c r="L295" s="1" t="str">
        <f t="shared" si="89"/>
        <v>R</v>
      </c>
      <c r="M295" s="1" t="str">
        <f>"T02"</f>
        <v>T02</v>
      </c>
      <c r="N295" s="1" t="str">
        <f t="shared" si="92"/>
        <v>Y</v>
      </c>
      <c r="O295" s="1" t="str">
        <f t="shared" si="103"/>
        <v>Y</v>
      </c>
      <c r="P295" s="1" t="str">
        <f t="shared" si="93"/>
        <v>Y</v>
      </c>
      <c r="Q295" s="1" t="str">
        <f t="shared" ref="Q295:Q358" si="105">"A"</f>
        <v>A</v>
      </c>
    </row>
    <row r="296" spans="1:17" x14ac:dyDescent="0.3">
      <c r="A296" s="1" t="str">
        <f t="shared" si="104"/>
        <v>B</v>
      </c>
      <c r="B296" s="1" t="str">
        <f>"HEP202"</f>
        <v>HEP202</v>
      </c>
      <c r="C296" s="1" t="str">
        <f>"B형간염 건강보유자"</f>
        <v>B형간염 건강보유자</v>
      </c>
      <c r="D296" s="1" t="str">
        <f>"B형간염 보균자이나 현재 간수치 상승은 없습니다. 정기적 간기능 추적검사를 받으세요."</f>
        <v>B형간염 보균자이나 현재 간수치 상승은 없습니다. 정기적 간기능 추적검사를 받으세요.</v>
      </c>
      <c r="E296" s="1" t="str">
        <f>"WOK01"</f>
        <v>WOK01</v>
      </c>
      <c r="F296" s="1" t="str">
        <f>"PTM01"</f>
        <v>PTM01</v>
      </c>
      <c r="G296" s="1" t="str">
        <f>"DISB"</f>
        <v>DISB</v>
      </c>
      <c r="H296" s="1" t="str">
        <f>"REL05"</f>
        <v>REL05</v>
      </c>
      <c r="I296" s="1" t="str">
        <f>""</f>
        <v/>
      </c>
      <c r="J296" s="1" t="str">
        <f>"C32C"</f>
        <v>C32C</v>
      </c>
      <c r="K296" s="1" t="str">
        <f>"C32C"</f>
        <v>C32C</v>
      </c>
      <c r="L296" s="1" t="str">
        <f t="shared" si="89"/>
        <v>R</v>
      </c>
      <c r="M296" s="1" t="str">
        <f>"T02"</f>
        <v>T02</v>
      </c>
      <c r="N296" s="1" t="str">
        <f t="shared" si="92"/>
        <v>Y</v>
      </c>
      <c r="O296" s="1" t="str">
        <f t="shared" si="103"/>
        <v>Y</v>
      </c>
      <c r="P296" s="1" t="str">
        <f t="shared" si="93"/>
        <v>Y</v>
      </c>
      <c r="Q296" s="1" t="str">
        <f t="shared" si="105"/>
        <v>A</v>
      </c>
    </row>
    <row r="297" spans="1:17" x14ac:dyDescent="0.3">
      <c r="A297" s="1" t="str">
        <f t="shared" si="104"/>
        <v>B</v>
      </c>
      <c r="B297" s="1" t="str">
        <f>"HEPLT8"</f>
        <v>HEPLT8</v>
      </c>
      <c r="C297" s="1" t="str">
        <f>"음성(B형간염항체)"</f>
        <v>음성(B형간염항체)</v>
      </c>
      <c r="D297" s="1" t="str">
        <f>"B형 간염 항체 음성입니다. B형 간염 바이러스에 대한 면역력이 없으므로 예방접종 하시기 바랍니다."</f>
        <v>B형 간염 항체 음성입니다. B형 간염 바이러스에 대한 면역력이 없으므로 예방접종 하시기 바랍니다.</v>
      </c>
      <c r="E297" s="1" t="str">
        <f>""</f>
        <v/>
      </c>
      <c r="F297" s="1" t="str">
        <f>""</f>
        <v/>
      </c>
      <c r="G297" s="1" t="str">
        <f>""</f>
        <v/>
      </c>
      <c r="H297" s="1" t="str">
        <f>""</f>
        <v/>
      </c>
      <c r="I297" s="1" t="str">
        <f>""</f>
        <v/>
      </c>
      <c r="J297" s="1" t="str">
        <f>"C05A"</f>
        <v>C05A</v>
      </c>
      <c r="K297" s="1" t="str">
        <f>"C05A"</f>
        <v>C05A</v>
      </c>
      <c r="L297" s="1" t="str">
        <f t="shared" si="89"/>
        <v>R</v>
      </c>
      <c r="M297" s="1" t="str">
        <f>""</f>
        <v/>
      </c>
      <c r="N297" s="1" t="str">
        <f t="shared" ref="N297:N328" si="106">"Y"</f>
        <v>Y</v>
      </c>
      <c r="O297" s="1" t="str">
        <f t="shared" si="103"/>
        <v>Y</v>
      </c>
      <c r="P297" s="1" t="str">
        <f t="shared" si="93"/>
        <v>Y</v>
      </c>
      <c r="Q297" s="1" t="str">
        <f t="shared" si="105"/>
        <v>A</v>
      </c>
    </row>
    <row r="298" spans="1:17" x14ac:dyDescent="0.3">
      <c r="A298" s="1" t="str">
        <f t="shared" si="104"/>
        <v>B</v>
      </c>
      <c r="B298" s="1" t="str">
        <f>"HEPLT80"</f>
        <v>HEPLT80</v>
      </c>
      <c r="C298" s="1" t="str">
        <f>"B형 간염 항체 음성"</f>
        <v>B형 간염 항체 음성</v>
      </c>
      <c r="D298" s="1" t="str">
        <f>"B형간염 예방접종 권고"</f>
        <v>B형간염 예방접종 권고</v>
      </c>
      <c r="E298" s="1" t="str">
        <f>"WOK01"</f>
        <v>WOK01</v>
      </c>
      <c r="F298" s="1" t="str">
        <f>"PTM01"</f>
        <v>PTM01</v>
      </c>
      <c r="G298" s="1" t="str">
        <f>"DISB"</f>
        <v>DISB</v>
      </c>
      <c r="H298" s="1" t="str">
        <f>"REL05"</f>
        <v>REL05</v>
      </c>
      <c r="I298" s="1" t="str">
        <f>""</f>
        <v/>
      </c>
      <c r="J298" s="1" t="str">
        <f>"C05A"</f>
        <v>C05A</v>
      </c>
      <c r="K298" s="1" t="str">
        <f>"C05A"</f>
        <v>C05A</v>
      </c>
      <c r="L298" s="1" t="str">
        <f t="shared" si="89"/>
        <v>R</v>
      </c>
      <c r="M298" s="1" t="str">
        <f>"T02"</f>
        <v>T02</v>
      </c>
      <c r="N298" s="1" t="str">
        <f t="shared" si="106"/>
        <v>Y</v>
      </c>
      <c r="O298" s="1" t="str">
        <f t="shared" si="103"/>
        <v>Y</v>
      </c>
      <c r="P298" s="1" t="str">
        <f t="shared" si="93"/>
        <v>Y</v>
      </c>
      <c r="Q298" s="1" t="str">
        <f t="shared" si="105"/>
        <v>A</v>
      </c>
    </row>
    <row r="299" spans="1:17" x14ac:dyDescent="0.3">
      <c r="A299" s="1" t="str">
        <f t="shared" si="104"/>
        <v>B</v>
      </c>
      <c r="B299" s="1" t="str">
        <f>"HPT200"</f>
        <v>HPT200</v>
      </c>
      <c r="C299" s="1" t="str">
        <f>"혈압관리"</f>
        <v>혈압관리</v>
      </c>
      <c r="D299" s="1" t="s">
        <v>75</v>
      </c>
      <c r="E299" s="1" t="str">
        <f>"WOK01"</f>
        <v>WOK01</v>
      </c>
      <c r="F299" s="1" t="str">
        <f t="shared" ref="F299:F306" si="107">"PTM00"</f>
        <v>PTM00</v>
      </c>
      <c r="G299" s="1" t="str">
        <f>"DISI"</f>
        <v>DISI</v>
      </c>
      <c r="H299" s="1" t="str">
        <f>"REL03"</f>
        <v>REL03</v>
      </c>
      <c r="I299" s="1" t="str">
        <f>""</f>
        <v/>
      </c>
      <c r="J299" s="1" t="str">
        <f t="shared" ref="J299:K301" si="108">"C03A"</f>
        <v>C03A</v>
      </c>
      <c r="K299" s="1" t="str">
        <f t="shared" si="108"/>
        <v>C03A</v>
      </c>
      <c r="L299" s="1" t="str">
        <f t="shared" si="89"/>
        <v>R</v>
      </c>
      <c r="M299" s="1" t="str">
        <f>"T03"</f>
        <v>T03</v>
      </c>
      <c r="N299" s="1" t="str">
        <f t="shared" si="106"/>
        <v>Y</v>
      </c>
      <c r="O299" s="1" t="str">
        <f t="shared" si="103"/>
        <v>Y</v>
      </c>
      <c r="P299" s="1" t="str">
        <f t="shared" si="93"/>
        <v>Y</v>
      </c>
      <c r="Q299" s="1" t="str">
        <f t="shared" si="105"/>
        <v>A</v>
      </c>
    </row>
    <row r="300" spans="1:17" x14ac:dyDescent="0.3">
      <c r="A300" s="1" t="str">
        <f t="shared" si="104"/>
        <v>B</v>
      </c>
      <c r="B300" s="1" t="str">
        <f>"HPT200G"</f>
        <v>HPT200G</v>
      </c>
      <c r="C300" s="1" t="str">
        <f>"혈압관리"</f>
        <v>혈압관리</v>
      </c>
      <c r="D300" s="1" t="s">
        <v>76</v>
      </c>
      <c r="E300" s="1" t="str">
        <f>"WOK01"</f>
        <v>WOK01</v>
      </c>
      <c r="F300" s="1" t="str">
        <f t="shared" si="107"/>
        <v>PTM00</v>
      </c>
      <c r="G300" s="1" t="str">
        <f>"DISI"</f>
        <v>DISI</v>
      </c>
      <c r="H300" s="1" t="str">
        <f>"REL03"</f>
        <v>REL03</v>
      </c>
      <c r="I300" s="1" t="str">
        <f>""</f>
        <v/>
      </c>
      <c r="J300" s="1" t="str">
        <f t="shared" si="108"/>
        <v>C03A</v>
      </c>
      <c r="K300" s="1" t="str">
        <f t="shared" si="108"/>
        <v>C03A</v>
      </c>
      <c r="L300" s="1" t="str">
        <f t="shared" si="89"/>
        <v>R</v>
      </c>
      <c r="M300" s="1" t="str">
        <f>"T03"</f>
        <v>T03</v>
      </c>
      <c r="N300" s="1" t="str">
        <f t="shared" si="106"/>
        <v>Y</v>
      </c>
      <c r="O300" s="1" t="str">
        <f t="shared" si="103"/>
        <v>Y</v>
      </c>
      <c r="P300" s="1" t="str">
        <f t="shared" si="93"/>
        <v>Y</v>
      </c>
      <c r="Q300" s="1" t="str">
        <f t="shared" si="105"/>
        <v>A</v>
      </c>
    </row>
    <row r="301" spans="1:17" x14ac:dyDescent="0.3">
      <c r="A301" s="1" t="str">
        <f t="shared" si="104"/>
        <v>B</v>
      </c>
      <c r="B301" s="1" t="str">
        <f>"HPT201"</f>
        <v>HPT201</v>
      </c>
      <c r="C301" s="1" t="str">
        <f>"고혈압전단계"</f>
        <v>고혈압전단계</v>
      </c>
      <c r="D301" s="1" t="str">
        <f>"저염식이 및 규칙적인 운동 등 건강관리 하시기 바랍니다."</f>
        <v>저염식이 및 규칙적인 운동 등 건강관리 하시기 바랍니다.</v>
      </c>
      <c r="E301" s="1" t="str">
        <f>"WOK01"</f>
        <v>WOK01</v>
      </c>
      <c r="F301" s="1" t="str">
        <f t="shared" si="107"/>
        <v>PTM00</v>
      </c>
      <c r="G301" s="1" t="str">
        <f>"DISI"</f>
        <v>DISI</v>
      </c>
      <c r="H301" s="1" t="str">
        <f>"REL03"</f>
        <v>REL03</v>
      </c>
      <c r="I301" s="1" t="str">
        <f>""</f>
        <v/>
      </c>
      <c r="J301" s="1" t="str">
        <f t="shared" si="108"/>
        <v>C03A</v>
      </c>
      <c r="K301" s="1" t="str">
        <f t="shared" si="108"/>
        <v>C03A</v>
      </c>
      <c r="L301" s="1" t="str">
        <f t="shared" si="89"/>
        <v>R</v>
      </c>
      <c r="M301" s="1" t="str">
        <f>"T03"</f>
        <v>T03</v>
      </c>
      <c r="N301" s="1" t="str">
        <f t="shared" si="106"/>
        <v>Y</v>
      </c>
      <c r="O301" s="1" t="str">
        <f t="shared" si="103"/>
        <v>Y</v>
      </c>
      <c r="P301" s="1" t="str">
        <f t="shared" si="93"/>
        <v>Y</v>
      </c>
      <c r="Q301" s="1" t="str">
        <f t="shared" si="105"/>
        <v>A</v>
      </c>
    </row>
    <row r="302" spans="1:17" x14ac:dyDescent="0.3">
      <c r="A302" s="1" t="str">
        <f t="shared" si="104"/>
        <v>B</v>
      </c>
      <c r="B302" s="1" t="str">
        <f>"HPT201BB"</f>
        <v>HPT201BB</v>
      </c>
      <c r="C302" s="1" t="str">
        <f>"고혈압위험군"</f>
        <v>고혈압위험군</v>
      </c>
      <c r="D302" s="1" t="str">
        <f>"저염식이 및 규칙적인 운동 등 건강관리 하시기 바랍니다."</f>
        <v>저염식이 및 규칙적인 운동 등 건강관리 하시기 바랍니다.</v>
      </c>
      <c r="E302" s="1" t="str">
        <f>""</f>
        <v/>
      </c>
      <c r="F302" s="1" t="str">
        <f t="shared" si="107"/>
        <v>PTM00</v>
      </c>
      <c r="G302" s="1" t="str">
        <f>""</f>
        <v/>
      </c>
      <c r="H302" s="1" t="str">
        <f>""</f>
        <v/>
      </c>
      <c r="I302" s="1" t="str">
        <f>""</f>
        <v/>
      </c>
      <c r="J302" s="1" t="str">
        <f>""</f>
        <v/>
      </c>
      <c r="K302" s="1" t="str">
        <f>""</f>
        <v/>
      </c>
      <c r="L302" s="1" t="str">
        <f t="shared" si="89"/>
        <v>R</v>
      </c>
      <c r="M302" s="1" t="str">
        <f>""</f>
        <v/>
      </c>
      <c r="N302" s="1" t="str">
        <f t="shared" si="106"/>
        <v>Y</v>
      </c>
      <c r="O302" s="1" t="str">
        <f t="shared" si="103"/>
        <v>Y</v>
      </c>
      <c r="P302" s="1" t="str">
        <f t="shared" si="93"/>
        <v>Y</v>
      </c>
      <c r="Q302" s="1" t="str">
        <f t="shared" si="105"/>
        <v>A</v>
      </c>
    </row>
    <row r="303" spans="1:17" x14ac:dyDescent="0.3">
      <c r="A303" s="1" t="str">
        <f t="shared" si="104"/>
        <v>B</v>
      </c>
      <c r="B303" s="1" t="str">
        <f>"HPT201G"</f>
        <v>HPT201G</v>
      </c>
      <c r="C303" s="1" t="str">
        <f>"혈압관리"</f>
        <v>혈압관리</v>
      </c>
      <c r="D303" s="1" t="s">
        <v>77</v>
      </c>
      <c r="E303" s="1" t="str">
        <f>"WOK01"</f>
        <v>WOK01</v>
      </c>
      <c r="F303" s="1" t="str">
        <f t="shared" si="107"/>
        <v>PTM00</v>
      </c>
      <c r="G303" s="1" t="str">
        <f>"DISI"</f>
        <v>DISI</v>
      </c>
      <c r="H303" s="1" t="str">
        <f>"REL03"</f>
        <v>REL03</v>
      </c>
      <c r="I303" s="1" t="str">
        <f>""</f>
        <v/>
      </c>
      <c r="J303" s="1" t="str">
        <f>""</f>
        <v/>
      </c>
      <c r="K303" s="1" t="str">
        <f>""</f>
        <v/>
      </c>
      <c r="L303" s="1" t="str">
        <f t="shared" si="89"/>
        <v>R</v>
      </c>
      <c r="M303" s="1" t="str">
        <f>"T03"</f>
        <v>T03</v>
      </c>
      <c r="N303" s="1" t="str">
        <f t="shared" si="106"/>
        <v>Y</v>
      </c>
      <c r="O303" s="1" t="str">
        <f t="shared" si="103"/>
        <v>Y</v>
      </c>
      <c r="P303" s="1" t="str">
        <f t="shared" si="93"/>
        <v>Y</v>
      </c>
      <c r="Q303" s="1" t="str">
        <f t="shared" si="105"/>
        <v>A</v>
      </c>
    </row>
    <row r="304" spans="1:17" x14ac:dyDescent="0.3">
      <c r="A304" s="1" t="str">
        <f t="shared" si="104"/>
        <v>B</v>
      </c>
      <c r="B304" s="1" t="str">
        <f>"HTU501"</f>
        <v>HTU501</v>
      </c>
      <c r="C304" s="1" t="str">
        <f>"혈뇨의심"</f>
        <v>혈뇨의심</v>
      </c>
      <c r="D304" s="1" t="s">
        <v>78</v>
      </c>
      <c r="E304" s="1" t="str">
        <f>"WOK01"</f>
        <v>WOK01</v>
      </c>
      <c r="F304" s="1" t="str">
        <f t="shared" si="107"/>
        <v>PTM00</v>
      </c>
      <c r="G304" s="1" t="str">
        <f>"DISN"</f>
        <v>DISN</v>
      </c>
      <c r="H304" s="1" t="str">
        <f>"REL09"</f>
        <v>REL09</v>
      </c>
      <c r="I304" s="1" t="str">
        <f>""</f>
        <v/>
      </c>
      <c r="J304" s="1" t="str">
        <f>"C44C"</f>
        <v>C44C</v>
      </c>
      <c r="K304" s="1" t="str">
        <f>"C44C"</f>
        <v>C44C</v>
      </c>
      <c r="L304" s="1" t="str">
        <f t="shared" si="89"/>
        <v>R</v>
      </c>
      <c r="M304" s="1" t="str">
        <f>"T05"</f>
        <v>T05</v>
      </c>
      <c r="N304" s="1" t="str">
        <f t="shared" si="106"/>
        <v>Y</v>
      </c>
      <c r="O304" s="1" t="str">
        <f t="shared" si="103"/>
        <v>Y</v>
      </c>
      <c r="P304" s="1" t="str">
        <f t="shared" si="93"/>
        <v>Y</v>
      </c>
      <c r="Q304" s="1" t="str">
        <f t="shared" si="105"/>
        <v>A</v>
      </c>
    </row>
    <row r="305" spans="1:17" x14ac:dyDescent="0.3">
      <c r="A305" s="1" t="str">
        <f t="shared" si="104"/>
        <v>B</v>
      </c>
      <c r="B305" s="1" t="str">
        <f>"IL01ANE201"</f>
        <v>IL01ANE201</v>
      </c>
      <c r="C305" s="1" t="str">
        <f>"경미한 빈혈"</f>
        <v>경미한 빈혈</v>
      </c>
      <c r="D305" s="1" t="str">
        <f>"경미한 빈혈에 해당하는 검사 결과입니다. 철분이 풍부한 음식을 섭취하시고 다음 검진에서 추적 관찰하시기 바랍니다."</f>
        <v>경미한 빈혈에 해당하는 검사 결과입니다. 철분이 풍부한 음식을 섭취하시고 다음 검진에서 추적 관찰하시기 바랍니다.</v>
      </c>
      <c r="E305" s="1" t="str">
        <f>"WOK02"</f>
        <v>WOK02</v>
      </c>
      <c r="F305" s="1" t="str">
        <f t="shared" si="107"/>
        <v>PTM00</v>
      </c>
      <c r="G305" s="1" t="str">
        <f>"DISD"</f>
        <v>DISD</v>
      </c>
      <c r="H305" s="1" t="str">
        <f>"REL12"</f>
        <v>REL12</v>
      </c>
      <c r="I305" s="1" t="str">
        <f>""</f>
        <v/>
      </c>
      <c r="J305" s="1" t="str">
        <f>"C08A"</f>
        <v>C08A</v>
      </c>
      <c r="K305" s="1" t="str">
        <f>"C08A"</f>
        <v>C08A</v>
      </c>
      <c r="L305" s="1" t="str">
        <f t="shared" si="89"/>
        <v>R</v>
      </c>
      <c r="M305" s="1" t="str">
        <f>"T01"</f>
        <v>T01</v>
      </c>
      <c r="N305" s="1" t="str">
        <f t="shared" si="106"/>
        <v>Y</v>
      </c>
      <c r="O305" s="1" t="str">
        <f t="shared" si="103"/>
        <v>Y</v>
      </c>
      <c r="P305" s="1" t="str">
        <f t="shared" si="93"/>
        <v>Y</v>
      </c>
      <c r="Q305" s="1" t="str">
        <f t="shared" si="105"/>
        <v>A</v>
      </c>
    </row>
    <row r="306" spans="1:17" x14ac:dyDescent="0.3">
      <c r="A306" s="1" t="str">
        <f t="shared" si="104"/>
        <v>B</v>
      </c>
      <c r="B306" s="1" t="str">
        <f>"IL01ANE202"</f>
        <v>IL01ANE202</v>
      </c>
      <c r="C306" s="1" t="str">
        <f>"혈색소수치 상승"</f>
        <v>혈색소수치 상승</v>
      </c>
      <c r="D306" s="1" t="str">
        <f>"혈색소 수치가 약간 증가 되었습니다. 탈수나 혈액 농축에 의해 일시적으로 높아 질수 있으나 다음 검진에서 수치를 확인하시길 바랍니다."</f>
        <v>혈색소 수치가 약간 증가 되었습니다. 탈수나 혈액 농축에 의해 일시적으로 높아 질수 있으나 다음 검진에서 수치를 확인하시길 바랍니다.</v>
      </c>
      <c r="E306" s="1" t="str">
        <f t="shared" ref="E306:E324" si="109">"WOK01"</f>
        <v>WOK01</v>
      </c>
      <c r="F306" s="1" t="str">
        <f t="shared" si="107"/>
        <v>PTM00</v>
      </c>
      <c r="G306" s="1" t="str">
        <f>"DISD"</f>
        <v>DISD</v>
      </c>
      <c r="H306" s="1" t="str">
        <f>"REL33"</f>
        <v>REL33</v>
      </c>
      <c r="I306" s="1" t="str">
        <f>""</f>
        <v/>
      </c>
      <c r="J306" s="1" t="str">
        <f>"C34C"</f>
        <v>C34C</v>
      </c>
      <c r="K306" s="1" t="str">
        <f>"C34C"</f>
        <v>C34C</v>
      </c>
      <c r="L306" s="1" t="str">
        <f t="shared" si="89"/>
        <v>R</v>
      </c>
      <c r="M306" s="1" t="str">
        <f>"T01"</f>
        <v>T01</v>
      </c>
      <c r="N306" s="1" t="str">
        <f t="shared" si="106"/>
        <v>Y</v>
      </c>
      <c r="O306" s="1" t="str">
        <f t="shared" si="103"/>
        <v>Y</v>
      </c>
      <c r="P306" s="1" t="str">
        <f t="shared" si="93"/>
        <v>Y</v>
      </c>
      <c r="Q306" s="1" t="str">
        <f t="shared" si="105"/>
        <v>A</v>
      </c>
    </row>
    <row r="307" spans="1:17" x14ac:dyDescent="0.3">
      <c r="A307" s="1" t="str">
        <f t="shared" si="104"/>
        <v>B</v>
      </c>
      <c r="B307" s="1" t="str">
        <f>"IL01DMD201"</f>
        <v>IL01DMD201</v>
      </c>
      <c r="C307" s="1" t="str">
        <f>"공복혈당장애"</f>
        <v>공복혈당장애</v>
      </c>
      <c r="D307" s="1" t="str">
        <f>"혈당이 상승했습니다. 식사조절 및 규칙적인 운동 바랍니다."</f>
        <v>혈당이 상승했습니다. 식사조절 및 규칙적인 운동 바랍니다.</v>
      </c>
      <c r="E307" s="1" t="str">
        <f t="shared" si="109"/>
        <v>WOK01</v>
      </c>
      <c r="F307" s="1" t="str">
        <f>"PTM01"</f>
        <v>PTM01</v>
      </c>
      <c r="G307" s="1" t="str">
        <f>"DISE"</f>
        <v>DISE</v>
      </c>
      <c r="H307" s="1" t="str">
        <f>"REL07"</f>
        <v>REL07</v>
      </c>
      <c r="I307" s="1" t="str">
        <f>""</f>
        <v/>
      </c>
      <c r="J307" s="1" t="str">
        <f>"C06A"</f>
        <v>C06A</v>
      </c>
      <c r="K307" s="1" t="str">
        <f>"C06A"</f>
        <v>C06A</v>
      </c>
      <c r="L307" s="1" t="str">
        <f t="shared" si="89"/>
        <v>R</v>
      </c>
      <c r="M307" s="1" t="str">
        <f>"T03"</f>
        <v>T03</v>
      </c>
      <c r="N307" s="1" t="str">
        <f t="shared" si="106"/>
        <v>Y</v>
      </c>
      <c r="O307" s="1" t="str">
        <f t="shared" si="103"/>
        <v>Y</v>
      </c>
      <c r="P307" s="1" t="str">
        <f t="shared" si="93"/>
        <v>Y</v>
      </c>
      <c r="Q307" s="1" t="str">
        <f t="shared" si="105"/>
        <v>A</v>
      </c>
    </row>
    <row r="308" spans="1:17" x14ac:dyDescent="0.3">
      <c r="A308" s="1" t="str">
        <f t="shared" si="104"/>
        <v>B</v>
      </c>
      <c r="B308" s="1" t="str">
        <f>"IL01EMP302"</f>
        <v>IL01EMP302</v>
      </c>
      <c r="C308" s="1" t="str">
        <f>"공복혈당장애"</f>
        <v>공복혈당장애</v>
      </c>
      <c r="D308" s="1" t="str">
        <f>"공복 혈당이 높게 나타납니다. 혈당이 오르지 않도록 식이요법과 체중관리가 필요합니다."</f>
        <v>공복 혈당이 높게 나타납니다. 혈당이 오르지 않도록 식이요법과 체중관리가 필요합니다.</v>
      </c>
      <c r="E308" s="1" t="str">
        <f t="shared" si="109"/>
        <v>WOK01</v>
      </c>
      <c r="F308" s="1" t="str">
        <f>"PTM01"</f>
        <v>PTM01</v>
      </c>
      <c r="G308" s="1" t="str">
        <f>"DISE"</f>
        <v>DISE</v>
      </c>
      <c r="H308" s="1" t="str">
        <f>"REL07"</f>
        <v>REL07</v>
      </c>
      <c r="I308" s="1" t="str">
        <f>""</f>
        <v/>
      </c>
      <c r="J308" s="1" t="str">
        <f>"C06A"</f>
        <v>C06A</v>
      </c>
      <c r="K308" s="1" t="str">
        <f>"C06A"</f>
        <v>C06A</v>
      </c>
      <c r="L308" s="1" t="str">
        <f t="shared" si="89"/>
        <v>R</v>
      </c>
      <c r="M308" s="1" t="str">
        <f>"T03"</f>
        <v>T03</v>
      </c>
      <c r="N308" s="1" t="str">
        <f t="shared" si="106"/>
        <v>Y</v>
      </c>
      <c r="O308" s="1" t="str">
        <f t="shared" si="103"/>
        <v>Y</v>
      </c>
      <c r="P308" s="1" t="str">
        <f t="shared" si="93"/>
        <v>Y</v>
      </c>
      <c r="Q308" s="1" t="str">
        <f t="shared" si="105"/>
        <v>A</v>
      </c>
    </row>
    <row r="309" spans="1:17" x14ac:dyDescent="0.3">
      <c r="A309" s="1" t="str">
        <f t="shared" si="104"/>
        <v>B</v>
      </c>
      <c r="B309" s="1" t="str">
        <f>"IL01HEP102"</f>
        <v>IL01HEP102</v>
      </c>
      <c r="C309" s="1" t="str">
        <f>"경미한 간기능이상"</f>
        <v>경미한 간기능이상</v>
      </c>
      <c r="D309" s="1" t="s">
        <v>79</v>
      </c>
      <c r="E309" s="1" t="str">
        <f t="shared" si="109"/>
        <v>WOK01</v>
      </c>
      <c r="F309" s="1" t="str">
        <f>"PTM00"</f>
        <v>PTM00</v>
      </c>
      <c r="G309" s="1" t="str">
        <f>"DISK"</f>
        <v>DISK</v>
      </c>
      <c r="H309" s="1" t="str">
        <f>"REL05"</f>
        <v>REL05</v>
      </c>
      <c r="I309" s="1" t="str">
        <f>""</f>
        <v/>
      </c>
      <c r="J309" s="1" t="str">
        <f>"C01A"</f>
        <v>C01A</v>
      </c>
      <c r="K309" s="1" t="str">
        <f>"C01A"</f>
        <v>C01A</v>
      </c>
      <c r="L309" s="1" t="str">
        <f t="shared" si="89"/>
        <v>R</v>
      </c>
      <c r="M309" s="1" t="str">
        <f>"T02"</f>
        <v>T02</v>
      </c>
      <c r="N309" s="1" t="str">
        <f t="shared" si="106"/>
        <v>Y</v>
      </c>
      <c r="O309" s="1" t="str">
        <f t="shared" si="103"/>
        <v>Y</v>
      </c>
      <c r="P309" s="1" t="str">
        <f t="shared" si="93"/>
        <v>Y</v>
      </c>
      <c r="Q309" s="1" t="str">
        <f t="shared" si="105"/>
        <v>A</v>
      </c>
    </row>
    <row r="310" spans="1:17" x14ac:dyDescent="0.3">
      <c r="A310" s="1" t="str">
        <f t="shared" si="104"/>
        <v>B</v>
      </c>
      <c r="B310" s="1" t="str">
        <f>"IL01HEP105"</f>
        <v>IL01HEP105</v>
      </c>
      <c r="C310" s="1" t="str">
        <f>"경미한 간기능이상"</f>
        <v>경미한 간기능이상</v>
      </c>
      <c r="D310" s="1" t="s">
        <v>80</v>
      </c>
      <c r="E310" s="1" t="str">
        <f t="shared" si="109"/>
        <v>WOK01</v>
      </c>
      <c r="F310" s="1" t="str">
        <f>"PTM01"</f>
        <v>PTM01</v>
      </c>
      <c r="G310" s="1" t="str">
        <f>"DISK"</f>
        <v>DISK</v>
      </c>
      <c r="H310" s="1" t="str">
        <f>"REL05"</f>
        <v>REL05</v>
      </c>
      <c r="I310" s="1" t="str">
        <f>""</f>
        <v/>
      </c>
      <c r="J310" s="1" t="str">
        <f>"C41A"</f>
        <v>C41A</v>
      </c>
      <c r="K310" s="1" t="str">
        <f>"C41A"</f>
        <v>C41A</v>
      </c>
      <c r="L310" s="1" t="str">
        <f t="shared" si="89"/>
        <v>R</v>
      </c>
      <c r="M310" s="1" t="str">
        <f>"T02"</f>
        <v>T02</v>
      </c>
      <c r="N310" s="1" t="str">
        <f t="shared" si="106"/>
        <v>Y</v>
      </c>
      <c r="O310" s="1" t="str">
        <f t="shared" si="103"/>
        <v>Y</v>
      </c>
      <c r="P310" s="1" t="str">
        <f t="shared" si="93"/>
        <v>Y</v>
      </c>
      <c r="Q310" s="1" t="str">
        <f t="shared" si="105"/>
        <v>A</v>
      </c>
    </row>
    <row r="311" spans="1:17" x14ac:dyDescent="0.3">
      <c r="A311" s="1" t="str">
        <f t="shared" si="104"/>
        <v>B</v>
      </c>
      <c r="B311" s="1" t="str">
        <f>"IL01HEP201"</f>
        <v>IL01HEP201</v>
      </c>
      <c r="C311" s="1" t="str">
        <f>"경미한 간기능이상"</f>
        <v>경미한 간기능이상</v>
      </c>
      <c r="D311" s="1" t="s">
        <v>81</v>
      </c>
      <c r="E311" s="1" t="str">
        <f t="shared" si="109"/>
        <v>WOK01</v>
      </c>
      <c r="F311" s="1" t="str">
        <f>"PTM01"</f>
        <v>PTM01</v>
      </c>
      <c r="G311" s="1" t="str">
        <f>"DISK"</f>
        <v>DISK</v>
      </c>
      <c r="H311" s="1" t="str">
        <f>"REL05"</f>
        <v>REL05</v>
      </c>
      <c r="I311" s="1" t="str">
        <f>""</f>
        <v/>
      </c>
      <c r="J311" s="1" t="str">
        <f>"C01A"</f>
        <v>C01A</v>
      </c>
      <c r="K311" s="1" t="str">
        <f>"C01A"</f>
        <v>C01A</v>
      </c>
      <c r="L311" s="1" t="str">
        <f t="shared" si="89"/>
        <v>R</v>
      </c>
      <c r="M311" s="1" t="str">
        <f>"T02"</f>
        <v>T02</v>
      </c>
      <c r="N311" s="1" t="str">
        <f t="shared" si="106"/>
        <v>Y</v>
      </c>
      <c r="O311" s="1" t="str">
        <f t="shared" si="103"/>
        <v>Y</v>
      </c>
      <c r="P311" s="1" t="str">
        <f t="shared" si="93"/>
        <v>Y</v>
      </c>
      <c r="Q311" s="1" t="str">
        <f t="shared" si="105"/>
        <v>A</v>
      </c>
    </row>
    <row r="312" spans="1:17" x14ac:dyDescent="0.3">
      <c r="A312" s="1" t="str">
        <f t="shared" si="104"/>
        <v>B</v>
      </c>
      <c r="B312" s="1" t="str">
        <f>"IL01HEP202"</f>
        <v>IL01HEP202</v>
      </c>
      <c r="C312" s="1" t="str">
        <f>"경미한 간기능이상"</f>
        <v>경미한 간기능이상</v>
      </c>
      <c r="D312" s="1" t="str">
        <f>"정상범위를 약간 벗어나는 간기능 이상입니다. 과체중이나 과음을 피하면서 경과 관찰하시기 바랍니다."</f>
        <v>정상범위를 약간 벗어나는 간기능 이상입니다. 과체중이나 과음을 피하면서 경과 관찰하시기 바랍니다.</v>
      </c>
      <c r="E312" s="1" t="str">
        <f t="shared" si="109"/>
        <v>WOK01</v>
      </c>
      <c r="F312" s="1" t="str">
        <f>"PTM00"</f>
        <v>PTM00</v>
      </c>
      <c r="G312" s="1" t="str">
        <f>"DISK"</f>
        <v>DISK</v>
      </c>
      <c r="H312" s="1" t="str">
        <f>"REL05"</f>
        <v>REL05</v>
      </c>
      <c r="I312" s="1" t="str">
        <f>""</f>
        <v/>
      </c>
      <c r="J312" s="1" t="str">
        <f>"C01A"</f>
        <v>C01A</v>
      </c>
      <c r="K312" s="1" t="str">
        <f>"C01A"</f>
        <v>C01A</v>
      </c>
      <c r="L312" s="1" t="str">
        <f t="shared" si="89"/>
        <v>R</v>
      </c>
      <c r="M312" s="1" t="str">
        <f>"T02"</f>
        <v>T02</v>
      </c>
      <c r="N312" s="1" t="str">
        <f t="shared" si="106"/>
        <v>Y</v>
      </c>
      <c r="O312" s="1" t="str">
        <f t="shared" si="103"/>
        <v>Y</v>
      </c>
      <c r="P312" s="1" t="str">
        <f t="shared" si="93"/>
        <v>Y</v>
      </c>
      <c r="Q312" s="1" t="str">
        <f t="shared" si="105"/>
        <v>A</v>
      </c>
    </row>
    <row r="313" spans="1:17" x14ac:dyDescent="0.3">
      <c r="A313" s="1" t="str">
        <f t="shared" si="104"/>
        <v>B</v>
      </c>
      <c r="B313" s="1" t="str">
        <f>"IL01HPT200"</f>
        <v>IL01HPT200</v>
      </c>
      <c r="C313" s="1" t="str">
        <f>"혈압관리"</f>
        <v>혈압관리</v>
      </c>
      <c r="D313" s="1" t="s">
        <v>26</v>
      </c>
      <c r="E313" s="1" t="str">
        <f t="shared" si="109"/>
        <v>WOK01</v>
      </c>
      <c r="F313" s="1" t="str">
        <f>"PTM00"</f>
        <v>PTM00</v>
      </c>
      <c r="G313" s="1" t="str">
        <f>"DISI"</f>
        <v>DISI</v>
      </c>
      <c r="H313" s="1" t="str">
        <f>"REL03"</f>
        <v>REL03</v>
      </c>
      <c r="I313" s="1" t="str">
        <f>""</f>
        <v/>
      </c>
      <c r="J313" s="1" t="str">
        <f>"C03A"</f>
        <v>C03A</v>
      </c>
      <c r="K313" s="1" t="str">
        <f>"C03A"</f>
        <v>C03A</v>
      </c>
      <c r="L313" s="1" t="str">
        <f t="shared" si="89"/>
        <v>R</v>
      </c>
      <c r="M313" s="1" t="str">
        <f t="shared" ref="M313:M318" si="110">"T03"</f>
        <v>T03</v>
      </c>
      <c r="N313" s="1" t="str">
        <f t="shared" si="106"/>
        <v>Y</v>
      </c>
      <c r="O313" s="1" t="str">
        <f t="shared" si="103"/>
        <v>Y</v>
      </c>
      <c r="P313" s="1" t="str">
        <f t="shared" si="93"/>
        <v>Y</v>
      </c>
      <c r="Q313" s="1" t="str">
        <f t="shared" si="105"/>
        <v>A</v>
      </c>
    </row>
    <row r="314" spans="1:17" x14ac:dyDescent="0.3">
      <c r="A314" s="1" t="str">
        <f t="shared" si="104"/>
        <v>B</v>
      </c>
      <c r="B314" s="1" t="str">
        <f>"IL01J0094"</f>
        <v>IL01J0094</v>
      </c>
      <c r="C314" s="1" t="str">
        <f>"비만"</f>
        <v>비만</v>
      </c>
      <c r="D314" s="1" t="s">
        <v>82</v>
      </c>
      <c r="E314" s="1" t="str">
        <f t="shared" si="109"/>
        <v>WOK01</v>
      </c>
      <c r="F314" s="1" t="str">
        <f>"PTM01"</f>
        <v>PTM01</v>
      </c>
      <c r="G314" s="1" t="str">
        <f t="shared" ref="G314:G320" si="111">"DISE"</f>
        <v>DISE</v>
      </c>
      <c r="H314" s="1" t="str">
        <f>"REL10"</f>
        <v>REL10</v>
      </c>
      <c r="I314" s="1" t="str">
        <f>""</f>
        <v/>
      </c>
      <c r="J314" s="1" t="str">
        <f>"C35C"</f>
        <v>C35C</v>
      </c>
      <c r="K314" s="1" t="str">
        <f>"C35C"</f>
        <v>C35C</v>
      </c>
      <c r="L314" s="1" t="str">
        <f t="shared" si="89"/>
        <v>R</v>
      </c>
      <c r="M314" s="1" t="str">
        <f t="shared" si="110"/>
        <v>T03</v>
      </c>
      <c r="N314" s="1" t="str">
        <f t="shared" si="106"/>
        <v>Y</v>
      </c>
      <c r="O314" s="1" t="str">
        <f t="shared" si="103"/>
        <v>Y</v>
      </c>
      <c r="P314" s="1" t="str">
        <f t="shared" si="93"/>
        <v>Y</v>
      </c>
      <c r="Q314" s="1" t="str">
        <f t="shared" si="105"/>
        <v>A</v>
      </c>
    </row>
    <row r="315" spans="1:17" x14ac:dyDescent="0.3">
      <c r="A315" s="1" t="str">
        <f t="shared" si="104"/>
        <v>B</v>
      </c>
      <c r="B315" s="1" t="str">
        <f>"IL01LIP201"</f>
        <v>IL01LIP201</v>
      </c>
      <c r="C315" s="1" t="str">
        <f>"경미한 이상지질혈증"</f>
        <v>경미한 이상지질혈증</v>
      </c>
      <c r="D315" s="1" t="str">
        <f>"콜레스테롤이 약간 증가했습니다. 식이요법과 운동으로 혈중 콜레스테롤이 높아지지 않도록 조심하세요."</f>
        <v>콜레스테롤이 약간 증가했습니다. 식이요법과 운동으로 혈중 콜레스테롤이 높아지지 않도록 조심하세요.</v>
      </c>
      <c r="E315" s="1" t="str">
        <f t="shared" si="109"/>
        <v>WOK01</v>
      </c>
      <c r="F315" s="1" t="str">
        <f>"PTM01"</f>
        <v>PTM01</v>
      </c>
      <c r="G315" s="1" t="str">
        <f t="shared" si="111"/>
        <v>DISE</v>
      </c>
      <c r="H315" s="1" t="str">
        <f>"REL04"</f>
        <v>REL04</v>
      </c>
      <c r="I315" s="1" t="str">
        <f>""</f>
        <v/>
      </c>
      <c r="J315" s="1" t="str">
        <f t="shared" ref="J315:K318" si="112">"C04A"</f>
        <v>C04A</v>
      </c>
      <c r="K315" s="1" t="str">
        <f t="shared" si="112"/>
        <v>C04A</v>
      </c>
      <c r="L315" s="1" t="str">
        <f t="shared" si="89"/>
        <v>R</v>
      </c>
      <c r="M315" s="1" t="str">
        <f t="shared" si="110"/>
        <v>T03</v>
      </c>
      <c r="N315" s="1" t="str">
        <f t="shared" si="106"/>
        <v>Y</v>
      </c>
      <c r="O315" s="1" t="str">
        <f t="shared" si="103"/>
        <v>Y</v>
      </c>
      <c r="P315" s="1" t="str">
        <f t="shared" si="93"/>
        <v>Y</v>
      </c>
      <c r="Q315" s="1" t="str">
        <f t="shared" si="105"/>
        <v>A</v>
      </c>
    </row>
    <row r="316" spans="1:17" x14ac:dyDescent="0.3">
      <c r="A316" s="1" t="str">
        <f t="shared" si="104"/>
        <v>B</v>
      </c>
      <c r="B316" s="1" t="str">
        <f>"IL01LIP202"</f>
        <v>IL01LIP202</v>
      </c>
      <c r="C316" s="1" t="str">
        <f>"경미한 콜레스테롤 이상"</f>
        <v>경미한 콜레스테롤 이상</v>
      </c>
      <c r="D316" s="1" t="str">
        <f>"심장질환에 유익한 고밀도(HDL) 콜레스테롤이 낮습니다. 규칙적인 운동을 하면 수치가 증가할 수 있습니다."</f>
        <v>심장질환에 유익한 고밀도(HDL) 콜레스테롤이 낮습니다. 규칙적인 운동을 하면 수치가 증가할 수 있습니다.</v>
      </c>
      <c r="E316" s="1" t="str">
        <f t="shared" si="109"/>
        <v>WOK01</v>
      </c>
      <c r="F316" s="1" t="str">
        <f>"PTM00"</f>
        <v>PTM00</v>
      </c>
      <c r="G316" s="1" t="str">
        <f t="shared" si="111"/>
        <v>DISE</v>
      </c>
      <c r="H316" s="1" t="str">
        <f>"REL04"</f>
        <v>REL04</v>
      </c>
      <c r="I316" s="1" t="str">
        <f>""</f>
        <v/>
      </c>
      <c r="J316" s="1" t="str">
        <f t="shared" si="112"/>
        <v>C04A</v>
      </c>
      <c r="K316" s="1" t="str">
        <f t="shared" si="112"/>
        <v>C04A</v>
      </c>
      <c r="L316" s="1" t="str">
        <f t="shared" si="89"/>
        <v>R</v>
      </c>
      <c r="M316" s="1" t="str">
        <f t="shared" si="110"/>
        <v>T03</v>
      </c>
      <c r="N316" s="1" t="str">
        <f t="shared" si="106"/>
        <v>Y</v>
      </c>
      <c r="O316" s="1" t="str">
        <f t="shared" si="103"/>
        <v>Y</v>
      </c>
      <c r="P316" s="1" t="str">
        <f t="shared" si="93"/>
        <v>Y</v>
      </c>
      <c r="Q316" s="1" t="str">
        <f t="shared" si="105"/>
        <v>A</v>
      </c>
    </row>
    <row r="317" spans="1:17" x14ac:dyDescent="0.3">
      <c r="A317" s="1" t="str">
        <f t="shared" si="104"/>
        <v>B</v>
      </c>
      <c r="B317" s="1" t="str">
        <f>"IL01LIP203"</f>
        <v>IL01LIP203</v>
      </c>
      <c r="C317" s="1" t="str">
        <f>"경미한 이상지질혈증"</f>
        <v>경미한 이상지질혈증</v>
      </c>
      <c r="D317" s="1" t="str">
        <f>"혈중 중성지방산이 약간 높습니다. 중성지방산이 증가하지 않도록 술과 지방질이 많은 음식을 피하십시요."</f>
        <v>혈중 중성지방산이 약간 높습니다. 중성지방산이 증가하지 않도록 술과 지방질이 많은 음식을 피하십시요.</v>
      </c>
      <c r="E317" s="1" t="str">
        <f t="shared" si="109"/>
        <v>WOK01</v>
      </c>
      <c r="F317" s="1" t="str">
        <f>"PTM00"</f>
        <v>PTM00</v>
      </c>
      <c r="G317" s="1" t="str">
        <f t="shared" si="111"/>
        <v>DISE</v>
      </c>
      <c r="H317" s="1" t="str">
        <f>"REL04"</f>
        <v>REL04</v>
      </c>
      <c r="I317" s="1" t="str">
        <f>""</f>
        <v/>
      </c>
      <c r="J317" s="1" t="str">
        <f t="shared" si="112"/>
        <v>C04A</v>
      </c>
      <c r="K317" s="1" t="str">
        <f t="shared" si="112"/>
        <v>C04A</v>
      </c>
      <c r="L317" s="1" t="str">
        <f t="shared" si="89"/>
        <v>R</v>
      </c>
      <c r="M317" s="1" t="str">
        <f t="shared" si="110"/>
        <v>T03</v>
      </c>
      <c r="N317" s="1" t="str">
        <f t="shared" si="106"/>
        <v>Y</v>
      </c>
      <c r="O317" s="1" t="str">
        <f t="shared" si="103"/>
        <v>Y</v>
      </c>
      <c r="P317" s="1" t="str">
        <f t="shared" si="93"/>
        <v>Y</v>
      </c>
      <c r="Q317" s="1" t="str">
        <f t="shared" si="105"/>
        <v>A</v>
      </c>
    </row>
    <row r="318" spans="1:17" x14ac:dyDescent="0.3">
      <c r="A318" s="1" t="str">
        <f t="shared" si="104"/>
        <v>B</v>
      </c>
      <c r="B318" s="1" t="str">
        <f>"IL01LIP204"</f>
        <v>IL01LIP204</v>
      </c>
      <c r="C318" s="1" t="str">
        <f>"경미한 고지혈증"</f>
        <v>경미한 고지혈증</v>
      </c>
      <c r="D318" s="1" t="s">
        <v>83</v>
      </c>
      <c r="E318" s="1" t="str">
        <f t="shared" si="109"/>
        <v>WOK01</v>
      </c>
      <c r="F318" s="1" t="str">
        <f>"PTM00"</f>
        <v>PTM00</v>
      </c>
      <c r="G318" s="1" t="str">
        <f t="shared" si="111"/>
        <v>DISE</v>
      </c>
      <c r="H318" s="1" t="str">
        <f>"REL04"</f>
        <v>REL04</v>
      </c>
      <c r="I318" s="1" t="str">
        <f>""</f>
        <v/>
      </c>
      <c r="J318" s="1" t="str">
        <f t="shared" si="112"/>
        <v>C04A</v>
      </c>
      <c r="K318" s="1" t="str">
        <f t="shared" si="112"/>
        <v>C04A</v>
      </c>
      <c r="L318" s="1" t="str">
        <f t="shared" si="89"/>
        <v>R</v>
      </c>
      <c r="M318" s="1" t="str">
        <f t="shared" si="110"/>
        <v>T03</v>
      </c>
      <c r="N318" s="1" t="str">
        <f t="shared" si="106"/>
        <v>Y</v>
      </c>
      <c r="O318" s="1" t="str">
        <f t="shared" si="103"/>
        <v>Y</v>
      </c>
      <c r="P318" s="1" t="str">
        <f t="shared" si="93"/>
        <v>Y</v>
      </c>
      <c r="Q318" s="1" t="str">
        <f t="shared" si="105"/>
        <v>A</v>
      </c>
    </row>
    <row r="319" spans="1:17" x14ac:dyDescent="0.3">
      <c r="A319" s="1" t="str">
        <f t="shared" si="104"/>
        <v>B</v>
      </c>
      <c r="B319" s="1" t="str">
        <f>"IL01LTS691"</f>
        <v>IL01LTS691</v>
      </c>
      <c r="C319" s="1" t="str">
        <f>"저체중관리"</f>
        <v>저체중관리</v>
      </c>
      <c r="D319" s="1" t="str">
        <f>"생활습관 개선을 통해 정상체중을 유지하는 것이 좋습니다."</f>
        <v>생활습관 개선을 통해 정상체중을 유지하는 것이 좋습니다.</v>
      </c>
      <c r="E319" s="1" t="str">
        <f t="shared" si="109"/>
        <v>WOK01</v>
      </c>
      <c r="F319" s="1" t="str">
        <f>"PTM01"</f>
        <v>PTM01</v>
      </c>
      <c r="G319" s="1" t="str">
        <f t="shared" si="111"/>
        <v>DISE</v>
      </c>
      <c r="H319" s="1" t="str">
        <f>"REL34"</f>
        <v>REL34</v>
      </c>
      <c r="I319" s="1" t="str">
        <f>""</f>
        <v/>
      </c>
      <c r="J319" s="1" t="str">
        <f>"C54C"</f>
        <v>C54C</v>
      </c>
      <c r="K319" s="1" t="str">
        <f>"C54C"</f>
        <v>C54C</v>
      </c>
      <c r="L319" s="1" t="str">
        <f t="shared" si="89"/>
        <v>R</v>
      </c>
      <c r="M319" s="1" t="str">
        <f>"T21"</f>
        <v>T21</v>
      </c>
      <c r="N319" s="1" t="str">
        <f t="shared" si="106"/>
        <v>Y</v>
      </c>
      <c r="O319" s="1" t="str">
        <f t="shared" si="103"/>
        <v>Y</v>
      </c>
      <c r="P319" s="1" t="str">
        <f t="shared" si="93"/>
        <v>Y</v>
      </c>
      <c r="Q319" s="1" t="str">
        <f t="shared" si="105"/>
        <v>A</v>
      </c>
    </row>
    <row r="320" spans="1:17" x14ac:dyDescent="0.3">
      <c r="A320" s="1" t="str">
        <f t="shared" si="104"/>
        <v>B</v>
      </c>
      <c r="B320" s="1" t="str">
        <f>"IL01LTS693"</f>
        <v>IL01LTS693</v>
      </c>
      <c r="C320" s="1" t="str">
        <f>"비만관리"</f>
        <v>비만관리</v>
      </c>
      <c r="D320" s="1" t="s">
        <v>84</v>
      </c>
      <c r="E320" s="1" t="str">
        <f t="shared" si="109"/>
        <v>WOK01</v>
      </c>
      <c r="F320" s="1" t="str">
        <f>"PTM01"</f>
        <v>PTM01</v>
      </c>
      <c r="G320" s="1" t="str">
        <f t="shared" si="111"/>
        <v>DISE</v>
      </c>
      <c r="H320" s="1" t="str">
        <f>"REL10"</f>
        <v>REL10</v>
      </c>
      <c r="I320" s="1" t="str">
        <f>""</f>
        <v/>
      </c>
      <c r="J320" s="1" t="str">
        <f>"C35A"</f>
        <v>C35A</v>
      </c>
      <c r="K320" s="1" t="str">
        <f>"C35A"</f>
        <v>C35A</v>
      </c>
      <c r="L320" s="1" t="str">
        <f t="shared" si="89"/>
        <v>R</v>
      </c>
      <c r="M320" s="1" t="str">
        <f>"T03"</f>
        <v>T03</v>
      </c>
      <c r="N320" s="1" t="str">
        <f t="shared" si="106"/>
        <v>Y</v>
      </c>
      <c r="O320" s="1" t="str">
        <f t="shared" si="103"/>
        <v>Y</v>
      </c>
      <c r="P320" s="1" t="str">
        <f t="shared" si="93"/>
        <v>Y</v>
      </c>
      <c r="Q320" s="1" t="str">
        <f t="shared" si="105"/>
        <v>A</v>
      </c>
    </row>
    <row r="321" spans="1:17" x14ac:dyDescent="0.3">
      <c r="A321" s="1" t="str">
        <f t="shared" si="104"/>
        <v>B</v>
      </c>
      <c r="B321" s="1" t="str">
        <f>"IL01PTULT3"</f>
        <v>IL01PTULT3</v>
      </c>
      <c r="C321" s="1" t="str">
        <f>"경미한 단백뇨"</f>
        <v>경미한 단백뇨</v>
      </c>
      <c r="D321" s="1" t="s">
        <v>85</v>
      </c>
      <c r="E321" s="1" t="str">
        <f t="shared" si="109"/>
        <v>WOK01</v>
      </c>
      <c r="F321" s="1" t="str">
        <f>"PTM011"</f>
        <v>PTM011</v>
      </c>
      <c r="G321" s="1" t="str">
        <f>"DISN"</f>
        <v>DISN</v>
      </c>
      <c r="H321" s="1" t="str">
        <f>"REL08"</f>
        <v>REL08</v>
      </c>
      <c r="I321" s="1" t="str">
        <f>""</f>
        <v/>
      </c>
      <c r="J321" s="1" t="str">
        <f>"C07A"</f>
        <v>C07A</v>
      </c>
      <c r="K321" s="1" t="str">
        <f>"C07A"</f>
        <v>C07A</v>
      </c>
      <c r="L321" s="1" t="str">
        <f t="shared" si="89"/>
        <v>R</v>
      </c>
      <c r="M321" s="1" t="str">
        <f>"T05"</f>
        <v>T05</v>
      </c>
      <c r="N321" s="1" t="str">
        <f t="shared" si="106"/>
        <v>Y</v>
      </c>
      <c r="O321" s="1" t="str">
        <f t="shared" si="103"/>
        <v>Y</v>
      </c>
      <c r="P321" s="1" t="str">
        <f t="shared" si="93"/>
        <v>Y</v>
      </c>
      <c r="Q321" s="1" t="str">
        <f t="shared" si="105"/>
        <v>A</v>
      </c>
    </row>
    <row r="322" spans="1:17" x14ac:dyDescent="0.3">
      <c r="A322" s="1" t="str">
        <f t="shared" si="104"/>
        <v>B</v>
      </c>
      <c r="B322" s="1" t="str">
        <f>"J0002"</f>
        <v>J0002</v>
      </c>
      <c r="C322" s="1" t="str">
        <f>"저체중"</f>
        <v>저체중</v>
      </c>
      <c r="D322" s="1" t="str">
        <f>"건강을 위해서는 적정체중의 유지가 필요합니다."</f>
        <v>건강을 위해서는 적정체중의 유지가 필요합니다.</v>
      </c>
      <c r="E322" s="1" t="str">
        <f t="shared" si="109"/>
        <v>WOK01</v>
      </c>
      <c r="F322" s="1" t="str">
        <f>"PTM01"</f>
        <v>PTM01</v>
      </c>
      <c r="G322" s="1" t="str">
        <f>"DISE"</f>
        <v>DISE</v>
      </c>
      <c r="H322" s="1" t="str">
        <f>"REL34"</f>
        <v>REL34</v>
      </c>
      <c r="I322" s="1" t="str">
        <f>""</f>
        <v/>
      </c>
      <c r="J322" s="1" t="str">
        <f>"C54C"</f>
        <v>C54C</v>
      </c>
      <c r="K322" s="1" t="str">
        <f>"C54C"</f>
        <v>C54C</v>
      </c>
      <c r="L322" s="1" t="str">
        <f t="shared" ref="L322:L385" si="113">"R"</f>
        <v>R</v>
      </c>
      <c r="M322" s="1" t="str">
        <f>""</f>
        <v/>
      </c>
      <c r="N322" s="1" t="str">
        <f t="shared" si="106"/>
        <v>Y</v>
      </c>
      <c r="O322" s="1" t="str">
        <f t="shared" si="103"/>
        <v>Y</v>
      </c>
      <c r="P322" s="1" t="str">
        <f t="shared" si="93"/>
        <v>Y</v>
      </c>
      <c r="Q322" s="1" t="str">
        <f t="shared" si="105"/>
        <v>A</v>
      </c>
    </row>
    <row r="323" spans="1:17" x14ac:dyDescent="0.3">
      <c r="A323" s="1" t="str">
        <f t="shared" si="104"/>
        <v>B</v>
      </c>
      <c r="B323" s="1" t="str">
        <f>"J0006A"</f>
        <v>J0006A</v>
      </c>
      <c r="C323" s="1" t="str">
        <f>"A형 간염 항체 없음"</f>
        <v>A형 간염 항체 없음</v>
      </c>
      <c r="D323" s="1" t="str">
        <f>"A형 간염 항체가 없습니다. 예방접종 바랍니다."</f>
        <v>A형 간염 항체가 없습니다. 예방접종 바랍니다.</v>
      </c>
      <c r="E323" s="1" t="str">
        <f t="shared" si="109"/>
        <v>WOK01</v>
      </c>
      <c r="F323" s="1" t="str">
        <f>"PTM011"</f>
        <v>PTM011</v>
      </c>
      <c r="G323" s="1" t="str">
        <f>"DISB"</f>
        <v>DISB</v>
      </c>
      <c r="H323" s="1" t="str">
        <f>"REL05"</f>
        <v>REL05</v>
      </c>
      <c r="I323" s="1" t="str">
        <f>""</f>
        <v/>
      </c>
      <c r="J323" s="1" t="str">
        <f>""</f>
        <v/>
      </c>
      <c r="K323" s="1" t="str">
        <f>""</f>
        <v/>
      </c>
      <c r="L323" s="1" t="str">
        <f t="shared" si="113"/>
        <v>R</v>
      </c>
      <c r="M323" s="1" t="str">
        <f>"T02"</f>
        <v>T02</v>
      </c>
      <c r="N323" s="1" t="str">
        <f t="shared" si="106"/>
        <v>Y</v>
      </c>
      <c r="O323" s="1" t="str">
        <f t="shared" ref="O323:O344" si="114">"Y"</f>
        <v>Y</v>
      </c>
      <c r="P323" s="1" t="str">
        <f t="shared" si="93"/>
        <v>Y</v>
      </c>
      <c r="Q323" s="1" t="str">
        <f t="shared" si="105"/>
        <v>A</v>
      </c>
    </row>
    <row r="324" spans="1:17" x14ac:dyDescent="0.3">
      <c r="A324" s="1" t="str">
        <f t="shared" si="104"/>
        <v>B</v>
      </c>
      <c r="B324" s="1" t="str">
        <f>"J0016"</f>
        <v>J0016</v>
      </c>
      <c r="C324" s="1" t="str">
        <f>"복부비만(생애)"</f>
        <v>복부비만(생애)</v>
      </c>
      <c r="D324" s="1" t="str">
        <f>"복부비만은 복강 내 지방이 과도하게 많음을 의미하는 것으로 복강 내 지방은 뇌심혈관계질환의 위험요소 입니다."</f>
        <v>복부비만은 복강 내 지방이 과도하게 많음을 의미하는 것으로 복강 내 지방은 뇌심혈관계질환의 위험요소 입니다.</v>
      </c>
      <c r="E324" s="1" t="str">
        <f t="shared" si="109"/>
        <v>WOK01</v>
      </c>
      <c r="F324" s="1" t="str">
        <f>"PTM00"</f>
        <v>PTM00</v>
      </c>
      <c r="G324" s="1" t="str">
        <f>"DISE"</f>
        <v>DISE</v>
      </c>
      <c r="H324" s="1" t="str">
        <f>"REL10"</f>
        <v>REL10</v>
      </c>
      <c r="I324" s="1" t="str">
        <f>""</f>
        <v/>
      </c>
      <c r="J324" s="1" t="str">
        <f>"C35C"</f>
        <v>C35C</v>
      </c>
      <c r="K324" s="1" t="str">
        <f>"C35C"</f>
        <v>C35C</v>
      </c>
      <c r="L324" s="1" t="str">
        <f t="shared" si="113"/>
        <v>R</v>
      </c>
      <c r="M324" s="1" t="str">
        <f>""</f>
        <v/>
      </c>
      <c r="N324" s="1" t="str">
        <f t="shared" si="106"/>
        <v>Y</v>
      </c>
      <c r="O324" s="1" t="str">
        <f t="shared" si="114"/>
        <v>Y</v>
      </c>
      <c r="P324" s="1" t="str">
        <f t="shared" si="93"/>
        <v>Y</v>
      </c>
      <c r="Q324" s="1" t="str">
        <f t="shared" si="105"/>
        <v>A</v>
      </c>
    </row>
    <row r="325" spans="1:17" x14ac:dyDescent="0.3">
      <c r="A325" s="1" t="str">
        <f t="shared" si="104"/>
        <v>B</v>
      </c>
      <c r="B325" s="1" t="str">
        <f>"J0071"</f>
        <v>J0071</v>
      </c>
      <c r="C325" s="1" t="str">
        <f>"골감소증"</f>
        <v>골감소증</v>
      </c>
      <c r="D325" s="1" t="s">
        <v>86</v>
      </c>
      <c r="E325" s="1" t="str">
        <f>"WOK02"</f>
        <v>WOK02</v>
      </c>
      <c r="F325" s="1" t="str">
        <f>"PTM01"</f>
        <v>PTM01</v>
      </c>
      <c r="G325" s="1" t="str">
        <f>"DISM"</f>
        <v>DISM</v>
      </c>
      <c r="H325" s="1" t="str">
        <f>"REL22"</f>
        <v>REL22</v>
      </c>
      <c r="I325" s="1" t="str">
        <f>""</f>
        <v/>
      </c>
      <c r="J325" s="1" t="str">
        <f t="shared" ref="J325:K327" si="115">"C43C"</f>
        <v>C43C</v>
      </c>
      <c r="K325" s="1" t="str">
        <f t="shared" si="115"/>
        <v>C43C</v>
      </c>
      <c r="L325" s="1" t="str">
        <f t="shared" si="113"/>
        <v>R</v>
      </c>
      <c r="M325" s="1" t="str">
        <f>""</f>
        <v/>
      </c>
      <c r="N325" s="1" t="str">
        <f t="shared" si="106"/>
        <v>Y</v>
      </c>
      <c r="O325" s="1" t="str">
        <f t="shared" si="114"/>
        <v>Y</v>
      </c>
      <c r="P325" s="1" t="str">
        <f t="shared" si="93"/>
        <v>Y</v>
      </c>
      <c r="Q325" s="1" t="str">
        <f t="shared" si="105"/>
        <v>A</v>
      </c>
    </row>
    <row r="326" spans="1:17" x14ac:dyDescent="0.3">
      <c r="A326" s="1" t="str">
        <f t="shared" si="104"/>
        <v>B</v>
      </c>
      <c r="B326" s="1" t="str">
        <f>"J0078"</f>
        <v>J0078</v>
      </c>
      <c r="C326" s="1" t="str">
        <f>"(요추촬영)척추전방전위증"</f>
        <v>(요추촬영)척추전방전위증</v>
      </c>
      <c r="D326" s="1" t="str">
        <f>"경미한 척추전방전위증 소견이 발견되고 있으니 가급적 중량물 취급작업은 하지 않기를 바랍니다. 허리통증 있을 시 진료받으시기 바랍니다."</f>
        <v>경미한 척추전방전위증 소견이 발견되고 있으니 가급적 중량물 취급작업은 하지 않기를 바랍니다. 허리통증 있을 시 진료받으시기 바랍니다.</v>
      </c>
      <c r="E326" s="1" t="str">
        <f>"WOK01"</f>
        <v>WOK01</v>
      </c>
      <c r="F326" s="1" t="str">
        <f>""</f>
        <v/>
      </c>
      <c r="G326" s="1" t="str">
        <f>"DISM"</f>
        <v>DISM</v>
      </c>
      <c r="H326" s="1" t="str">
        <f>"REL22"</f>
        <v>REL22</v>
      </c>
      <c r="I326" s="1" t="str">
        <f>""</f>
        <v/>
      </c>
      <c r="J326" s="1" t="str">
        <f t="shared" si="115"/>
        <v>C43C</v>
      </c>
      <c r="K326" s="1" t="str">
        <f t="shared" si="115"/>
        <v>C43C</v>
      </c>
      <c r="L326" s="1" t="str">
        <f t="shared" si="113"/>
        <v>R</v>
      </c>
      <c r="M326" s="1" t="str">
        <f>"T19"</f>
        <v>T19</v>
      </c>
      <c r="N326" s="1" t="str">
        <f t="shared" si="106"/>
        <v>Y</v>
      </c>
      <c r="O326" s="1" t="str">
        <f t="shared" si="114"/>
        <v>Y</v>
      </c>
      <c r="P326" s="1" t="str">
        <f t="shared" si="93"/>
        <v>Y</v>
      </c>
      <c r="Q326" s="1" t="str">
        <f t="shared" si="105"/>
        <v>A</v>
      </c>
    </row>
    <row r="327" spans="1:17" x14ac:dyDescent="0.3">
      <c r="A327" s="1" t="str">
        <f t="shared" ref="A327:A358" si="116">"B"</f>
        <v>B</v>
      </c>
      <c r="B327" s="1" t="str">
        <f>"J00782"</f>
        <v>J00782</v>
      </c>
      <c r="C327" s="1" t="str">
        <f>"(요추촬영)경미한 변형성 척추증"</f>
        <v>(요추촬영)경미한 변형성 척추증</v>
      </c>
      <c r="D327" s="1" t="str">
        <f>"경미한 척추 이상소견이 발견되고 있으나 증상이 없으므로 작업제한은 필요하지 않습니다."</f>
        <v>경미한 척추 이상소견이 발견되고 있으나 증상이 없으므로 작업제한은 필요하지 않습니다.</v>
      </c>
      <c r="E327" s="1" t="str">
        <f>"WOK01"</f>
        <v>WOK01</v>
      </c>
      <c r="F327" s="1" t="str">
        <f>"PTM00"</f>
        <v>PTM00</v>
      </c>
      <c r="G327" s="1" t="str">
        <f>"DISM"</f>
        <v>DISM</v>
      </c>
      <c r="H327" s="1" t="str">
        <f>"REL22"</f>
        <v>REL22</v>
      </c>
      <c r="I327" s="1" t="str">
        <f>""</f>
        <v/>
      </c>
      <c r="J327" s="1" t="str">
        <f t="shared" si="115"/>
        <v>C43C</v>
      </c>
      <c r="K327" s="1" t="str">
        <f t="shared" si="115"/>
        <v>C43C</v>
      </c>
      <c r="L327" s="1" t="str">
        <f t="shared" si="113"/>
        <v>R</v>
      </c>
      <c r="M327" s="1" t="str">
        <f>"T19"</f>
        <v>T19</v>
      </c>
      <c r="N327" s="1" t="str">
        <f t="shared" si="106"/>
        <v>Y</v>
      </c>
      <c r="O327" s="1" t="str">
        <f t="shared" si="114"/>
        <v>Y</v>
      </c>
      <c r="P327" s="1" t="str">
        <f t="shared" si="93"/>
        <v>Y</v>
      </c>
      <c r="Q327" s="1" t="str">
        <f t="shared" si="105"/>
        <v>A</v>
      </c>
    </row>
    <row r="328" spans="1:17" x14ac:dyDescent="0.3">
      <c r="A328" s="1" t="str">
        <f t="shared" si="116"/>
        <v>B</v>
      </c>
      <c r="B328" s="1" t="str">
        <f>"J0093"</f>
        <v>J0093</v>
      </c>
      <c r="C328" s="1" t="str">
        <f>"복부비만"</f>
        <v>복부비만</v>
      </c>
      <c r="D328" s="1" t="str">
        <f>"복부비만은 각종 성인병의 원인이 될 수 있습니다. 식사량 조절 및 운동으로 체중을 감량하여 복부비만을 줄이십시요."</f>
        <v>복부비만은 각종 성인병의 원인이 될 수 있습니다. 식사량 조절 및 운동으로 체중을 감량하여 복부비만을 줄이십시요.</v>
      </c>
      <c r="E328" s="1" t="str">
        <f>"WOK01"</f>
        <v>WOK01</v>
      </c>
      <c r="F328" s="1" t="str">
        <f>"PTM01"</f>
        <v>PTM01</v>
      </c>
      <c r="G328" s="1" t="str">
        <f>"DISE"</f>
        <v>DISE</v>
      </c>
      <c r="H328" s="1" t="str">
        <f>"REL10"</f>
        <v>REL10</v>
      </c>
      <c r="I328" s="1" t="str">
        <f>""</f>
        <v/>
      </c>
      <c r="J328" s="1" t="str">
        <f>""</f>
        <v/>
      </c>
      <c r="K328" s="1" t="str">
        <f>""</f>
        <v/>
      </c>
      <c r="L328" s="1" t="str">
        <f t="shared" si="113"/>
        <v>R</v>
      </c>
      <c r="M328" s="1" t="str">
        <f>"T03"</f>
        <v>T03</v>
      </c>
      <c r="N328" s="1" t="str">
        <f t="shared" si="106"/>
        <v>Y</v>
      </c>
      <c r="O328" s="1" t="str">
        <f t="shared" si="114"/>
        <v>Y</v>
      </c>
      <c r="P328" s="1" t="str">
        <f t="shared" si="93"/>
        <v>Y</v>
      </c>
      <c r="Q328" s="1" t="str">
        <f t="shared" si="105"/>
        <v>A</v>
      </c>
    </row>
    <row r="329" spans="1:17" x14ac:dyDescent="0.3">
      <c r="A329" s="1" t="str">
        <f t="shared" si="116"/>
        <v>B</v>
      </c>
      <c r="B329" s="1" t="str">
        <f>"J0096"</f>
        <v>J0096</v>
      </c>
      <c r="C329" s="1" t="str">
        <f>"폐낭종 의심"</f>
        <v>폐낭종 의심</v>
      </c>
      <c r="D329" s="1" t="str">
        <f>"이전 필름과 비교하여 차이가 없습니다. 근무에 지장 없습니다."</f>
        <v>이전 필름과 비교하여 차이가 없습니다. 근무에 지장 없습니다.</v>
      </c>
      <c r="E329" s="1" t="str">
        <f>""</f>
        <v/>
      </c>
      <c r="F329" s="1" t="str">
        <f>""</f>
        <v/>
      </c>
      <c r="G329" s="1" t="str">
        <f>""</f>
        <v/>
      </c>
      <c r="H329" s="1" t="str">
        <f>""</f>
        <v/>
      </c>
      <c r="I329" s="1" t="str">
        <f>""</f>
        <v/>
      </c>
      <c r="J329" s="1" t="str">
        <f>""</f>
        <v/>
      </c>
      <c r="K329" s="1" t="str">
        <f>""</f>
        <v/>
      </c>
      <c r="L329" s="1" t="str">
        <f t="shared" si="113"/>
        <v>R</v>
      </c>
      <c r="M329" s="1" t="str">
        <f>""</f>
        <v/>
      </c>
      <c r="N329" s="1" t="str">
        <f t="shared" ref="N329:N360" si="117">"Y"</f>
        <v>Y</v>
      </c>
      <c r="O329" s="1" t="str">
        <f t="shared" si="114"/>
        <v>Y</v>
      </c>
      <c r="P329" s="1" t="str">
        <f t="shared" si="93"/>
        <v>Y</v>
      </c>
      <c r="Q329" s="1" t="str">
        <f t="shared" si="105"/>
        <v>A</v>
      </c>
    </row>
    <row r="330" spans="1:17" x14ac:dyDescent="0.3">
      <c r="A330" s="1" t="str">
        <f t="shared" si="116"/>
        <v>B</v>
      </c>
      <c r="B330" s="1" t="str">
        <f>"J01023"</f>
        <v>J01023</v>
      </c>
      <c r="C330" s="1" t="str">
        <f>"제한성 폐기능 저하"</f>
        <v>제한성 폐기능 저하</v>
      </c>
      <c r="D330" s="1" t="str">
        <f>"경도의 제한성 폐기능 저하 소견을 보이나 정상범위로 보입니다. 폐기능은 연도별 변화 양상이 중요하므로 추적관찰이 필요합니다."</f>
        <v>경도의 제한성 폐기능 저하 소견을 보이나 정상범위로 보입니다. 폐기능은 연도별 변화 양상이 중요하므로 추적관찰이 필요합니다.</v>
      </c>
      <c r="E330" s="1" t="str">
        <f>"WOK01"</f>
        <v>WOK01</v>
      </c>
      <c r="F330" s="1" t="str">
        <f>"PTM03"</f>
        <v>PTM03</v>
      </c>
      <c r="G330" s="1" t="str">
        <f>"DISJ"</f>
        <v>DISJ</v>
      </c>
      <c r="H330" s="1" t="str">
        <f>"REL02"</f>
        <v>REL02</v>
      </c>
      <c r="I330" s="1" t="str">
        <f>""</f>
        <v/>
      </c>
      <c r="J330" s="1" t="str">
        <f>"C40C"</f>
        <v>C40C</v>
      </c>
      <c r="K330" s="1" t="str">
        <f>"C40C"</f>
        <v>C40C</v>
      </c>
      <c r="L330" s="1" t="str">
        <f t="shared" si="113"/>
        <v>R</v>
      </c>
      <c r="M330" s="1" t="str">
        <f>"T04"</f>
        <v>T04</v>
      </c>
      <c r="N330" s="1" t="str">
        <f t="shared" si="117"/>
        <v>Y</v>
      </c>
      <c r="O330" s="1" t="str">
        <f t="shared" si="114"/>
        <v>Y</v>
      </c>
      <c r="P330" s="1" t="str">
        <f t="shared" ref="P330:P393" si="118">"Y"</f>
        <v>Y</v>
      </c>
      <c r="Q330" s="1" t="str">
        <f t="shared" si="105"/>
        <v>A</v>
      </c>
    </row>
    <row r="331" spans="1:17" x14ac:dyDescent="0.3">
      <c r="A331" s="1" t="str">
        <f t="shared" si="116"/>
        <v>B</v>
      </c>
      <c r="B331" s="1" t="str">
        <f>"J0105"</f>
        <v>J0105</v>
      </c>
      <c r="C331" s="1" t="str">
        <f>"아토피"</f>
        <v>아토피</v>
      </c>
      <c r="D331" s="1" t="s">
        <v>87</v>
      </c>
      <c r="E331" s="1" t="str">
        <f>""</f>
        <v/>
      </c>
      <c r="F331" s="1" t="str">
        <f>""</f>
        <v/>
      </c>
      <c r="G331" s="1" t="str">
        <f>""</f>
        <v/>
      </c>
      <c r="H331" s="1" t="str">
        <f>""</f>
        <v/>
      </c>
      <c r="I331" s="1" t="str">
        <f>""</f>
        <v/>
      </c>
      <c r="J331" s="1" t="str">
        <f>""</f>
        <v/>
      </c>
      <c r="K331" s="1" t="str">
        <f>""</f>
        <v/>
      </c>
      <c r="L331" s="1" t="str">
        <f t="shared" si="113"/>
        <v>R</v>
      </c>
      <c r="M331" s="1" t="str">
        <f>""</f>
        <v/>
      </c>
      <c r="N331" s="1" t="str">
        <f t="shared" si="117"/>
        <v>Y</v>
      </c>
      <c r="O331" s="1" t="str">
        <f t="shared" si="114"/>
        <v>Y</v>
      </c>
      <c r="P331" s="1" t="str">
        <f t="shared" si="118"/>
        <v>Y</v>
      </c>
      <c r="Q331" s="1" t="str">
        <f t="shared" si="105"/>
        <v>A</v>
      </c>
    </row>
    <row r="332" spans="1:17" x14ac:dyDescent="0.3">
      <c r="A332" s="1" t="str">
        <f t="shared" si="116"/>
        <v>B</v>
      </c>
      <c r="B332" s="1" t="str">
        <f>"J0105BB"</f>
        <v>J0105BB</v>
      </c>
      <c r="C332" s="1" t="str">
        <f>"피부질환"</f>
        <v>피부질환</v>
      </c>
      <c r="D332" s="1" t="str">
        <f>"진단받은 병력이 없다면 피부과 진료 통하여 관리하시기 바랍니다."</f>
        <v>진단받은 병력이 없다면 피부과 진료 통하여 관리하시기 바랍니다.</v>
      </c>
      <c r="E332" s="1" t="str">
        <f>""</f>
        <v/>
      </c>
      <c r="F332" s="1" t="str">
        <f>""</f>
        <v/>
      </c>
      <c r="G332" s="1" t="str">
        <f>""</f>
        <v/>
      </c>
      <c r="H332" s="1" t="str">
        <f>""</f>
        <v/>
      </c>
      <c r="I332" s="1" t="str">
        <f>""</f>
        <v/>
      </c>
      <c r="J332" s="1" t="str">
        <f>""</f>
        <v/>
      </c>
      <c r="K332" s="1" t="str">
        <f>""</f>
        <v/>
      </c>
      <c r="L332" s="1" t="str">
        <f t="shared" si="113"/>
        <v>R</v>
      </c>
      <c r="M332" s="1" t="str">
        <f>""</f>
        <v/>
      </c>
      <c r="N332" s="1" t="str">
        <f t="shared" si="117"/>
        <v>Y</v>
      </c>
      <c r="O332" s="1" t="str">
        <f t="shared" si="114"/>
        <v>Y</v>
      </c>
      <c r="P332" s="1" t="str">
        <f t="shared" si="118"/>
        <v>Y</v>
      </c>
      <c r="Q332" s="1" t="str">
        <f t="shared" si="105"/>
        <v>A</v>
      </c>
    </row>
    <row r="333" spans="1:17" x14ac:dyDescent="0.3">
      <c r="A333" s="1" t="str">
        <f t="shared" si="116"/>
        <v>B</v>
      </c>
      <c r="B333" s="1" t="str">
        <f>"J0106"</f>
        <v>J0106</v>
      </c>
      <c r="C333" s="1" t="str">
        <f>"비염"</f>
        <v>비염</v>
      </c>
      <c r="D333" s="1" t="s">
        <v>88</v>
      </c>
      <c r="E333" s="1" t="str">
        <f>""</f>
        <v/>
      </c>
      <c r="F333" s="1" t="str">
        <f>""</f>
        <v/>
      </c>
      <c r="G333" s="1" t="str">
        <f>""</f>
        <v/>
      </c>
      <c r="H333" s="1" t="str">
        <f>""</f>
        <v/>
      </c>
      <c r="I333" s="1" t="str">
        <f>""</f>
        <v/>
      </c>
      <c r="J333" s="1" t="str">
        <f>""</f>
        <v/>
      </c>
      <c r="K333" s="1" t="str">
        <f>""</f>
        <v/>
      </c>
      <c r="L333" s="1" t="str">
        <f t="shared" si="113"/>
        <v>R</v>
      </c>
      <c r="M333" s="1" t="str">
        <f>""</f>
        <v/>
      </c>
      <c r="N333" s="1" t="str">
        <f t="shared" si="117"/>
        <v>Y</v>
      </c>
      <c r="O333" s="1" t="str">
        <f t="shared" si="114"/>
        <v>Y</v>
      </c>
      <c r="P333" s="1" t="str">
        <f t="shared" si="118"/>
        <v>Y</v>
      </c>
      <c r="Q333" s="1" t="str">
        <f t="shared" si="105"/>
        <v>A</v>
      </c>
    </row>
    <row r="334" spans="1:17" x14ac:dyDescent="0.3">
      <c r="A334" s="1" t="str">
        <f t="shared" si="116"/>
        <v>B</v>
      </c>
      <c r="B334" s="1" t="str">
        <f>"J0107"</f>
        <v>J0107</v>
      </c>
      <c r="C334" s="1" t="str">
        <f>"부비동염"</f>
        <v>부비동염</v>
      </c>
      <c r="D334" s="1" t="s">
        <v>89</v>
      </c>
      <c r="E334" s="1" t="str">
        <f>""</f>
        <v/>
      </c>
      <c r="F334" s="1" t="str">
        <f>""</f>
        <v/>
      </c>
      <c r="G334" s="1" t="str">
        <f>""</f>
        <v/>
      </c>
      <c r="H334" s="1" t="str">
        <f>""</f>
        <v/>
      </c>
      <c r="I334" s="1" t="str">
        <f>""</f>
        <v/>
      </c>
      <c r="J334" s="1" t="str">
        <f>""</f>
        <v/>
      </c>
      <c r="K334" s="1" t="str">
        <f>""</f>
        <v/>
      </c>
      <c r="L334" s="1" t="str">
        <f t="shared" si="113"/>
        <v>R</v>
      </c>
      <c r="M334" s="1" t="str">
        <f>""</f>
        <v/>
      </c>
      <c r="N334" s="1" t="str">
        <f t="shared" si="117"/>
        <v>Y</v>
      </c>
      <c r="O334" s="1" t="str">
        <f t="shared" si="114"/>
        <v>Y</v>
      </c>
      <c r="P334" s="1" t="str">
        <f t="shared" si="118"/>
        <v>Y</v>
      </c>
      <c r="Q334" s="1" t="str">
        <f t="shared" si="105"/>
        <v>A</v>
      </c>
    </row>
    <row r="335" spans="1:17" x14ac:dyDescent="0.3">
      <c r="A335" s="1" t="str">
        <f t="shared" si="116"/>
        <v>B</v>
      </c>
      <c r="B335" s="1" t="str">
        <f>"J0108"</f>
        <v>J0108</v>
      </c>
      <c r="C335" s="1" t="str">
        <f>"결막염"</f>
        <v>결막염</v>
      </c>
      <c r="D335" s="1" t="str">
        <f>"눈을 쉬게 하고 미지근한 물로 적신 수건 등을 이용하여 증상을 경감시킬 수 있습니다. 증상이 심할 때는 안과 진료를 받으시기 바랍니다."</f>
        <v>눈을 쉬게 하고 미지근한 물로 적신 수건 등을 이용하여 증상을 경감시킬 수 있습니다. 증상이 심할 때는 안과 진료를 받으시기 바랍니다.</v>
      </c>
      <c r="E335" s="1" t="str">
        <f>""</f>
        <v/>
      </c>
      <c r="F335" s="1" t="str">
        <f>""</f>
        <v/>
      </c>
      <c r="G335" s="1" t="str">
        <f>""</f>
        <v/>
      </c>
      <c r="H335" s="1" t="str">
        <f>""</f>
        <v/>
      </c>
      <c r="I335" s="1" t="str">
        <f>""</f>
        <v/>
      </c>
      <c r="J335" s="1" t="str">
        <f>""</f>
        <v/>
      </c>
      <c r="K335" s="1" t="str">
        <f>""</f>
        <v/>
      </c>
      <c r="L335" s="1" t="str">
        <f t="shared" si="113"/>
        <v>R</v>
      </c>
      <c r="M335" s="1" t="str">
        <f>""</f>
        <v/>
      </c>
      <c r="N335" s="1" t="str">
        <f t="shared" si="117"/>
        <v>Y</v>
      </c>
      <c r="O335" s="1" t="str">
        <f t="shared" si="114"/>
        <v>Y</v>
      </c>
      <c r="P335" s="1" t="str">
        <f t="shared" si="118"/>
        <v>Y</v>
      </c>
      <c r="Q335" s="1" t="str">
        <f t="shared" si="105"/>
        <v>A</v>
      </c>
    </row>
    <row r="336" spans="1:17" x14ac:dyDescent="0.3">
      <c r="A336" s="1" t="str">
        <f t="shared" si="116"/>
        <v>B</v>
      </c>
      <c r="B336" s="1" t="str">
        <f>"J0109"</f>
        <v>J0109</v>
      </c>
      <c r="C336" s="1" t="str">
        <f>"중이염"</f>
        <v>중이염</v>
      </c>
      <c r="D336" s="1" t="str">
        <f>"감기에 걸리지 않도록 주의하세요. 잦은 중이염 재발은 성인이 되어 청력감퇴의 원인이 될 수 있습니다. 증상 시 진료요함."</f>
        <v>감기에 걸리지 않도록 주의하세요. 잦은 중이염 재발은 성인이 되어 청력감퇴의 원인이 될 수 있습니다. 증상 시 진료요함.</v>
      </c>
      <c r="E336" s="1" t="str">
        <f>""</f>
        <v/>
      </c>
      <c r="F336" s="1" t="str">
        <f>""</f>
        <v/>
      </c>
      <c r="G336" s="1" t="str">
        <f>""</f>
        <v/>
      </c>
      <c r="H336" s="1" t="str">
        <f>""</f>
        <v/>
      </c>
      <c r="I336" s="1" t="str">
        <f>""</f>
        <v/>
      </c>
      <c r="J336" s="1" t="str">
        <f>""</f>
        <v/>
      </c>
      <c r="K336" s="1" t="str">
        <f>""</f>
        <v/>
      </c>
      <c r="L336" s="1" t="str">
        <f t="shared" si="113"/>
        <v>R</v>
      </c>
      <c r="M336" s="1" t="str">
        <f>""</f>
        <v/>
      </c>
      <c r="N336" s="1" t="str">
        <f t="shared" si="117"/>
        <v>Y</v>
      </c>
      <c r="O336" s="1" t="str">
        <f t="shared" si="114"/>
        <v>Y</v>
      </c>
      <c r="P336" s="1" t="str">
        <f t="shared" si="118"/>
        <v>Y</v>
      </c>
      <c r="Q336" s="1" t="str">
        <f t="shared" si="105"/>
        <v>A</v>
      </c>
    </row>
    <row r="337" spans="1:17" x14ac:dyDescent="0.3">
      <c r="A337" s="1" t="str">
        <f t="shared" si="116"/>
        <v>B</v>
      </c>
      <c r="B337" s="1" t="str">
        <f>"J0118"</f>
        <v>J0118</v>
      </c>
      <c r="C337" s="1" t="str">
        <f>"철분 감소"</f>
        <v>철분 감소</v>
      </c>
      <c r="D337" s="1" t="s">
        <v>90</v>
      </c>
      <c r="E337" s="1" t="str">
        <f>""</f>
        <v/>
      </c>
      <c r="F337" s="1" t="str">
        <f>""</f>
        <v/>
      </c>
      <c r="G337" s="1" t="str">
        <f>""</f>
        <v/>
      </c>
      <c r="H337" s="1" t="str">
        <f>""</f>
        <v/>
      </c>
      <c r="I337" s="1" t="str">
        <f>""</f>
        <v/>
      </c>
      <c r="J337" s="1" t="str">
        <f>""</f>
        <v/>
      </c>
      <c r="K337" s="1" t="str">
        <f>""</f>
        <v/>
      </c>
      <c r="L337" s="1" t="str">
        <f t="shared" si="113"/>
        <v>R</v>
      </c>
      <c r="M337" s="1" t="str">
        <f>""</f>
        <v/>
      </c>
      <c r="N337" s="1" t="str">
        <f t="shared" si="117"/>
        <v>Y</v>
      </c>
      <c r="O337" s="1" t="str">
        <f t="shared" si="114"/>
        <v>Y</v>
      </c>
      <c r="P337" s="1" t="str">
        <f t="shared" si="118"/>
        <v>Y</v>
      </c>
      <c r="Q337" s="1" t="str">
        <f t="shared" si="105"/>
        <v>A</v>
      </c>
    </row>
    <row r="338" spans="1:17" x14ac:dyDescent="0.3">
      <c r="A338" s="1" t="str">
        <f t="shared" si="116"/>
        <v>B</v>
      </c>
      <c r="B338" s="1" t="str">
        <f>"J0122"</f>
        <v>J0122</v>
      </c>
      <c r="C338" s="1" t="str">
        <f>"혈색소수치 상승"</f>
        <v>혈색소수치 상승</v>
      </c>
      <c r="D338" s="1" t="str">
        <f>"일시적으로 상승할 수 있으나 주기적 검사 받으세요"</f>
        <v>일시적으로 상승할 수 있으나 주기적 검사 받으세요</v>
      </c>
      <c r="E338" s="1" t="str">
        <f>"WOK01"</f>
        <v>WOK01</v>
      </c>
      <c r="F338" s="1" t="str">
        <f>"PTM00"</f>
        <v>PTM00</v>
      </c>
      <c r="G338" s="1" t="str">
        <f>"DISD"</f>
        <v>DISD</v>
      </c>
      <c r="H338" s="1" t="str">
        <f>"REL12"</f>
        <v>REL12</v>
      </c>
      <c r="I338" s="1" t="str">
        <f>""</f>
        <v/>
      </c>
      <c r="J338" s="1" t="str">
        <f>"C34A"</f>
        <v>C34A</v>
      </c>
      <c r="K338" s="1" t="str">
        <f>"C34A"</f>
        <v>C34A</v>
      </c>
      <c r="L338" s="1" t="str">
        <f t="shared" si="113"/>
        <v>R</v>
      </c>
      <c r="M338" s="1" t="str">
        <f>"T01"</f>
        <v>T01</v>
      </c>
      <c r="N338" s="1" t="str">
        <f t="shared" si="117"/>
        <v>Y</v>
      </c>
      <c r="O338" s="1" t="str">
        <f t="shared" si="114"/>
        <v>Y</v>
      </c>
      <c r="P338" s="1" t="str">
        <f t="shared" si="118"/>
        <v>Y</v>
      </c>
      <c r="Q338" s="1" t="str">
        <f t="shared" si="105"/>
        <v>A</v>
      </c>
    </row>
    <row r="339" spans="1:17" x14ac:dyDescent="0.3">
      <c r="A339" s="1" t="str">
        <f t="shared" si="116"/>
        <v>B</v>
      </c>
      <c r="B339" s="1" t="str">
        <f>"J0135"</f>
        <v>J0135</v>
      </c>
      <c r="C339" s="1" t="str">
        <f>"늑골 골절 흔적"</f>
        <v>늑골 골절 흔적</v>
      </c>
      <c r="D339" s="1" t="str">
        <f>"흉부 촬영상 늑골(갈비뼈) 골절의 흔적 소견이 관찰됩니다. 현재 아프신 곳이 없다면 특별한 조치는 필요하지 않습니다."</f>
        <v>흉부 촬영상 늑골(갈비뼈) 골절의 흔적 소견이 관찰됩니다. 현재 아프신 곳이 없다면 특별한 조치는 필요하지 않습니다.</v>
      </c>
      <c r="E339" s="1" t="str">
        <f>"WOK01"</f>
        <v>WOK01</v>
      </c>
      <c r="F339" s="1" t="str">
        <f>"PTM00"</f>
        <v>PTM00</v>
      </c>
      <c r="G339" s="1" t="str">
        <f>"DISJ"</f>
        <v>DISJ</v>
      </c>
      <c r="H339" s="1" t="str">
        <f>"REL02"</f>
        <v>REL02</v>
      </c>
      <c r="I339" s="1" t="str">
        <f>""</f>
        <v/>
      </c>
      <c r="J339" s="1" t="str">
        <f>"C02C"</f>
        <v>C02C</v>
      </c>
      <c r="K339" s="1" t="str">
        <f>"C02C"</f>
        <v>C02C</v>
      </c>
      <c r="L339" s="1" t="str">
        <f t="shared" si="113"/>
        <v>R</v>
      </c>
      <c r="M339" s="1" t="str">
        <f>"T04"</f>
        <v>T04</v>
      </c>
      <c r="N339" s="1" t="str">
        <f t="shared" si="117"/>
        <v>Y</v>
      </c>
      <c r="O339" s="1" t="str">
        <f t="shared" si="114"/>
        <v>Y</v>
      </c>
      <c r="P339" s="1" t="str">
        <f t="shared" si="118"/>
        <v>Y</v>
      </c>
      <c r="Q339" s="1" t="str">
        <f t="shared" si="105"/>
        <v>A</v>
      </c>
    </row>
    <row r="340" spans="1:17" x14ac:dyDescent="0.3">
      <c r="A340" s="1" t="str">
        <f t="shared" si="116"/>
        <v>B</v>
      </c>
      <c r="B340" s="1" t="str">
        <f>"J0142"</f>
        <v>J0142</v>
      </c>
      <c r="C340" s="1" t="str">
        <f>"편도선비대"</f>
        <v>편도선비대</v>
      </c>
      <c r="D340" s="1" t="str">
        <f>"잦은 편도의 염증은 코골이와 호흡곤란의 원인이 될 수 있습니다. 실내의 습도를 적절하게 유지하고 안정과 영양섭취에 신경 쓰세요. 관련 증상시 진료요함."</f>
        <v>잦은 편도의 염증은 코골이와 호흡곤란의 원인이 될 수 있습니다. 실내의 습도를 적절하게 유지하고 안정과 영양섭취에 신경 쓰세요. 관련 증상시 진료요함.</v>
      </c>
      <c r="E340" s="1" t="str">
        <f>""</f>
        <v/>
      </c>
      <c r="F340" s="1" t="str">
        <f>""</f>
        <v/>
      </c>
      <c r="G340" s="1" t="str">
        <f>""</f>
        <v/>
      </c>
      <c r="H340" s="1" t="str">
        <f>""</f>
        <v/>
      </c>
      <c r="I340" s="1" t="str">
        <f>""</f>
        <v/>
      </c>
      <c r="J340" s="1" t="str">
        <f>""</f>
        <v/>
      </c>
      <c r="K340" s="1" t="str">
        <f>""</f>
        <v/>
      </c>
      <c r="L340" s="1" t="str">
        <f t="shared" si="113"/>
        <v>R</v>
      </c>
      <c r="M340" s="1" t="str">
        <f>""</f>
        <v/>
      </c>
      <c r="N340" s="1" t="str">
        <f t="shared" si="117"/>
        <v>Y</v>
      </c>
      <c r="O340" s="1" t="str">
        <f t="shared" si="114"/>
        <v>Y</v>
      </c>
      <c r="P340" s="1" t="str">
        <f t="shared" si="118"/>
        <v>Y</v>
      </c>
      <c r="Q340" s="1" t="str">
        <f t="shared" si="105"/>
        <v>A</v>
      </c>
    </row>
    <row r="341" spans="1:17" x14ac:dyDescent="0.3">
      <c r="A341" s="1" t="str">
        <f t="shared" si="116"/>
        <v>B</v>
      </c>
      <c r="B341" s="1" t="str">
        <f>"J0143"</f>
        <v>J0143</v>
      </c>
      <c r="C341" s="1" t="str">
        <f>"장염"</f>
        <v>장염</v>
      </c>
      <c r="D341" s="1" t="str">
        <f>"소화가 잘되고 영양가가 높은 음식을 조금씩 섭취하세요. 설사가 심할시 충분한 수분과 미네랄 공급이 필요합니다."</f>
        <v>소화가 잘되고 영양가가 높은 음식을 조금씩 섭취하세요. 설사가 심할시 충분한 수분과 미네랄 공급이 필요합니다.</v>
      </c>
      <c r="E341" s="1" t="str">
        <f>""</f>
        <v/>
      </c>
      <c r="F341" s="1" t="str">
        <f>""</f>
        <v/>
      </c>
      <c r="G341" s="1" t="str">
        <f>""</f>
        <v/>
      </c>
      <c r="H341" s="1" t="str">
        <f>""</f>
        <v/>
      </c>
      <c r="I341" s="1" t="str">
        <f>""</f>
        <v/>
      </c>
      <c r="J341" s="1" t="str">
        <f>""</f>
        <v/>
      </c>
      <c r="K341" s="1" t="str">
        <f>""</f>
        <v/>
      </c>
      <c r="L341" s="1" t="str">
        <f t="shared" si="113"/>
        <v>R</v>
      </c>
      <c r="M341" s="1" t="str">
        <f>""</f>
        <v/>
      </c>
      <c r="N341" s="1" t="str">
        <f t="shared" si="117"/>
        <v>Y</v>
      </c>
      <c r="O341" s="1" t="str">
        <f t="shared" si="114"/>
        <v>Y</v>
      </c>
      <c r="P341" s="1" t="str">
        <f t="shared" si="118"/>
        <v>Y</v>
      </c>
      <c r="Q341" s="1" t="str">
        <f t="shared" si="105"/>
        <v>A</v>
      </c>
    </row>
    <row r="342" spans="1:17" x14ac:dyDescent="0.3">
      <c r="A342" s="1" t="str">
        <f t="shared" si="116"/>
        <v>B</v>
      </c>
      <c r="B342" s="1" t="str">
        <f>"J0144"</f>
        <v>J0144</v>
      </c>
      <c r="C342" s="1" t="str">
        <f>"천식"</f>
        <v>천식</v>
      </c>
      <c r="D342" s="1" t="s">
        <v>91</v>
      </c>
      <c r="E342" s="1" t="str">
        <f>""</f>
        <v/>
      </c>
      <c r="F342" s="1" t="str">
        <f>""</f>
        <v/>
      </c>
      <c r="G342" s="1" t="str">
        <f>""</f>
        <v/>
      </c>
      <c r="H342" s="1" t="str">
        <f>""</f>
        <v/>
      </c>
      <c r="I342" s="1" t="str">
        <f>""</f>
        <v/>
      </c>
      <c r="J342" s="1" t="str">
        <f>""</f>
        <v/>
      </c>
      <c r="K342" s="1" t="str">
        <f>""</f>
        <v/>
      </c>
      <c r="L342" s="1" t="str">
        <f t="shared" si="113"/>
        <v>R</v>
      </c>
      <c r="M342" s="1" t="str">
        <f>""</f>
        <v/>
      </c>
      <c r="N342" s="1" t="str">
        <f t="shared" si="117"/>
        <v>Y</v>
      </c>
      <c r="O342" s="1" t="str">
        <f t="shared" si="114"/>
        <v>Y</v>
      </c>
      <c r="P342" s="1" t="str">
        <f t="shared" si="118"/>
        <v>Y</v>
      </c>
      <c r="Q342" s="1" t="str">
        <f t="shared" si="105"/>
        <v>A</v>
      </c>
    </row>
    <row r="343" spans="1:17" x14ac:dyDescent="0.3">
      <c r="A343" s="1" t="str">
        <f t="shared" si="116"/>
        <v>B</v>
      </c>
      <c r="B343" s="1" t="str">
        <f>"J0145"</f>
        <v>J0145</v>
      </c>
      <c r="C343" s="1" t="str">
        <f>"설사"</f>
        <v>설사</v>
      </c>
      <c r="D343" s="1" t="s">
        <v>92</v>
      </c>
      <c r="E343" s="1" t="str">
        <f>""</f>
        <v/>
      </c>
      <c r="F343" s="1" t="str">
        <f>""</f>
        <v/>
      </c>
      <c r="G343" s="1" t="str">
        <f>""</f>
        <v/>
      </c>
      <c r="H343" s="1" t="str">
        <f>""</f>
        <v/>
      </c>
      <c r="I343" s="1" t="str">
        <f>""</f>
        <v/>
      </c>
      <c r="J343" s="1" t="str">
        <f>""</f>
        <v/>
      </c>
      <c r="K343" s="1" t="str">
        <f>""</f>
        <v/>
      </c>
      <c r="L343" s="1" t="str">
        <f t="shared" si="113"/>
        <v>R</v>
      </c>
      <c r="M343" s="1" t="str">
        <f>""</f>
        <v/>
      </c>
      <c r="N343" s="1" t="str">
        <f t="shared" si="117"/>
        <v>Y</v>
      </c>
      <c r="O343" s="1" t="str">
        <f t="shared" si="114"/>
        <v>Y</v>
      </c>
      <c r="P343" s="1" t="str">
        <f t="shared" si="118"/>
        <v>Y</v>
      </c>
      <c r="Q343" s="1" t="str">
        <f t="shared" si="105"/>
        <v>A</v>
      </c>
    </row>
    <row r="344" spans="1:17" x14ac:dyDescent="0.3">
      <c r="A344" s="1" t="str">
        <f t="shared" si="116"/>
        <v>B</v>
      </c>
      <c r="B344" s="1" t="str">
        <f>"J0146"</f>
        <v>J0146</v>
      </c>
      <c r="C344" s="1" t="str">
        <f>"기관지염"</f>
        <v>기관지염</v>
      </c>
      <c r="D344" s="1" t="s">
        <v>93</v>
      </c>
      <c r="E344" s="1" t="str">
        <f>""</f>
        <v/>
      </c>
      <c r="F344" s="1" t="str">
        <f>""</f>
        <v/>
      </c>
      <c r="G344" s="1" t="str">
        <f>""</f>
        <v/>
      </c>
      <c r="H344" s="1" t="str">
        <f>""</f>
        <v/>
      </c>
      <c r="I344" s="1" t="str">
        <f>""</f>
        <v/>
      </c>
      <c r="J344" s="1" t="str">
        <f>"C02D"</f>
        <v>C02D</v>
      </c>
      <c r="K344" s="1" t="str">
        <f>"C02D"</f>
        <v>C02D</v>
      </c>
      <c r="L344" s="1" t="str">
        <f t="shared" si="113"/>
        <v>R</v>
      </c>
      <c r="M344" s="1" t="str">
        <f>""</f>
        <v/>
      </c>
      <c r="N344" s="1" t="str">
        <f t="shared" si="117"/>
        <v>Y</v>
      </c>
      <c r="O344" s="1" t="str">
        <f t="shared" si="114"/>
        <v>Y</v>
      </c>
      <c r="P344" s="1" t="str">
        <f t="shared" si="118"/>
        <v>Y</v>
      </c>
      <c r="Q344" s="1" t="str">
        <f t="shared" si="105"/>
        <v>A</v>
      </c>
    </row>
    <row r="345" spans="1:17" x14ac:dyDescent="0.3">
      <c r="A345" s="1" t="str">
        <f t="shared" si="116"/>
        <v>B</v>
      </c>
      <c r="B345" s="1" t="str">
        <f>"J0164"</f>
        <v>J0164</v>
      </c>
      <c r="C345" s="1" t="str">
        <f>"내장역위증"</f>
        <v>내장역위증</v>
      </c>
      <c r="D345" s="1" t="str">
        <f>"선천적 문제로 대개의 경우 건강이나 생활에 특별한 문제가 없습니다."</f>
        <v>선천적 문제로 대개의 경우 건강이나 생활에 특별한 문제가 없습니다.</v>
      </c>
      <c r="E345" s="1" t="str">
        <f>"WOK01"</f>
        <v>WOK01</v>
      </c>
      <c r="F345" s="1" t="str">
        <f>"PTM01"</f>
        <v>PTM01</v>
      </c>
      <c r="G345" s="1" t="str">
        <f>"DISI"</f>
        <v>DISI</v>
      </c>
      <c r="H345" s="1" t="str">
        <f>""</f>
        <v/>
      </c>
      <c r="I345" s="1" t="str">
        <f>""</f>
        <v/>
      </c>
      <c r="J345" s="1" t="str">
        <f>""</f>
        <v/>
      </c>
      <c r="K345" s="1" t="str">
        <f>""</f>
        <v/>
      </c>
      <c r="L345" s="1" t="str">
        <f t="shared" si="113"/>
        <v>R</v>
      </c>
      <c r="M345" s="1" t="str">
        <f>"T03"</f>
        <v>T03</v>
      </c>
      <c r="N345" s="1" t="str">
        <f t="shared" si="117"/>
        <v>Y</v>
      </c>
      <c r="O345" s="1" t="str">
        <f>"N"</f>
        <v>N</v>
      </c>
      <c r="P345" s="1" t="str">
        <f t="shared" si="118"/>
        <v>Y</v>
      </c>
      <c r="Q345" s="1" t="str">
        <f t="shared" si="105"/>
        <v>A</v>
      </c>
    </row>
    <row r="346" spans="1:17" x14ac:dyDescent="0.3">
      <c r="A346" s="1" t="str">
        <f t="shared" si="116"/>
        <v>B</v>
      </c>
      <c r="B346" s="1" t="str">
        <f>"J0208A"</f>
        <v>J0208A</v>
      </c>
      <c r="C346" s="1" t="str">
        <f>"잠복결핵 양성"</f>
        <v>잠복결핵 양성</v>
      </c>
      <c r="D346" s="1" t="str">
        <f>"잠복 결핵 소견입니다. 국가 결핵퇴치 사업으로 치료를 실시합니다. 치료비용은 전액 국가 부담입니다. 3/4/9개월요법 중 선택합니다. 일상생활에서 즉시 마스크 착용하시고 호흡기 내과 진료 바랍니다."</f>
        <v>잠복 결핵 소견입니다. 국가 결핵퇴치 사업으로 치료를 실시합니다. 치료비용은 전액 국가 부담입니다. 3/4/9개월요법 중 선택합니다. 일상생활에서 즉시 마스크 착용하시고 호흡기 내과 진료 바랍니다.</v>
      </c>
      <c r="E346" s="1" t="str">
        <f>"WOK01"</f>
        <v>WOK01</v>
      </c>
      <c r="F346" s="1" t="str">
        <f>"PTM01"</f>
        <v>PTM01</v>
      </c>
      <c r="G346" s="1" t="str">
        <f>"DISJ"</f>
        <v>DISJ</v>
      </c>
      <c r="H346" s="1" t="str">
        <f>"REL01"</f>
        <v>REL01</v>
      </c>
      <c r="I346" s="1" t="str">
        <f>""</f>
        <v/>
      </c>
      <c r="J346" s="1" t="str">
        <f>"C01A"</f>
        <v>C01A</v>
      </c>
      <c r="K346" s="1" t="str">
        <f>"C01A"</f>
        <v>C01A</v>
      </c>
      <c r="L346" s="1" t="str">
        <f t="shared" si="113"/>
        <v>R</v>
      </c>
      <c r="M346" s="1" t="str">
        <f>"T04"</f>
        <v>T04</v>
      </c>
      <c r="N346" s="1" t="str">
        <f t="shared" si="117"/>
        <v>Y</v>
      </c>
      <c r="O346" s="1" t="str">
        <f t="shared" ref="O346:O377" si="119">"Y"</f>
        <v>Y</v>
      </c>
      <c r="P346" s="1" t="str">
        <f t="shared" si="118"/>
        <v>Y</v>
      </c>
      <c r="Q346" s="1" t="str">
        <f t="shared" si="105"/>
        <v>A</v>
      </c>
    </row>
    <row r="347" spans="1:17" x14ac:dyDescent="0.3">
      <c r="A347" s="1" t="str">
        <f t="shared" si="116"/>
        <v>B</v>
      </c>
      <c r="B347" s="1" t="str">
        <f>"J0208B"</f>
        <v>J0208B</v>
      </c>
      <c r="C347" s="1" t="str">
        <f>"잠복결핵(판독불명)"</f>
        <v>잠복결핵(판독불명)</v>
      </c>
      <c r="D347" s="1" t="str">
        <f>"잠복 결핵검사 결과 양성 대조 항원 반응이 약해 판독불명(indeterminate) 소견입니다. 질병관리본부 결핵관리지침에서는 판독불명 소견일 경우 경과를 관찰하도록 하고 있습니다. 1개월 이내 재내원하여 추적검사하시기 바랍니다."</f>
        <v>잠복 결핵검사 결과 양성 대조 항원 반응이 약해 판독불명(indeterminate) 소견입니다. 질병관리본부 결핵관리지침에서는 판독불명 소견일 경우 경과를 관찰하도록 하고 있습니다. 1개월 이내 재내원하여 추적검사하시기 바랍니다.</v>
      </c>
      <c r="E347" s="1" t="str">
        <f>"WOK01"</f>
        <v>WOK01</v>
      </c>
      <c r="F347" s="1" t="str">
        <f>"PTM01"</f>
        <v>PTM01</v>
      </c>
      <c r="G347" s="1" t="str">
        <f>"DISJ"</f>
        <v>DISJ</v>
      </c>
      <c r="H347" s="1" t="str">
        <f>"REL01"</f>
        <v>REL01</v>
      </c>
      <c r="I347" s="1" t="str">
        <f>""</f>
        <v/>
      </c>
      <c r="J347" s="1" t="str">
        <f>"C01A"</f>
        <v>C01A</v>
      </c>
      <c r="K347" s="1" t="str">
        <f>"C01A"</f>
        <v>C01A</v>
      </c>
      <c r="L347" s="1" t="str">
        <f t="shared" si="113"/>
        <v>R</v>
      </c>
      <c r="M347" s="1" t="str">
        <f>"T04"</f>
        <v>T04</v>
      </c>
      <c r="N347" s="1" t="str">
        <f t="shared" si="117"/>
        <v>Y</v>
      </c>
      <c r="O347" s="1" t="str">
        <f t="shared" si="119"/>
        <v>Y</v>
      </c>
      <c r="P347" s="1" t="str">
        <f t="shared" si="118"/>
        <v>Y</v>
      </c>
      <c r="Q347" s="1" t="str">
        <f t="shared" si="105"/>
        <v>A</v>
      </c>
    </row>
    <row r="348" spans="1:17" x14ac:dyDescent="0.3">
      <c r="A348" s="1" t="str">
        <f t="shared" si="116"/>
        <v>B</v>
      </c>
      <c r="B348" s="1" t="str">
        <f>"J0211"</f>
        <v>J0211</v>
      </c>
      <c r="C348" s="1" t="str">
        <f>"경미한 고콜레스테롤혈증"</f>
        <v>경미한 고콜레스테롤혈증</v>
      </c>
      <c r="D348" s="1" t="str">
        <f>"치료가 약간 미흡한것으로 사료되오니 규칙적인 콜레스테롤조절이 필요합니다."</f>
        <v>치료가 약간 미흡한것으로 사료되오니 규칙적인 콜레스테롤조절이 필요합니다.</v>
      </c>
      <c r="E348" s="1" t="str">
        <f>"WOK01"</f>
        <v>WOK01</v>
      </c>
      <c r="F348" s="1" t="str">
        <f>"PTM00"</f>
        <v>PTM00</v>
      </c>
      <c r="G348" s="1" t="str">
        <f>"DISE"</f>
        <v>DISE</v>
      </c>
      <c r="H348" s="1" t="str">
        <f>"REL04"</f>
        <v>REL04</v>
      </c>
      <c r="I348" s="1" t="str">
        <f>""</f>
        <v/>
      </c>
      <c r="J348" s="1" t="str">
        <f>"C04A"</f>
        <v>C04A</v>
      </c>
      <c r="K348" s="1" t="str">
        <f>"C04A"</f>
        <v>C04A</v>
      </c>
      <c r="L348" s="1" t="str">
        <f t="shared" si="113"/>
        <v>R</v>
      </c>
      <c r="M348" s="1" t="str">
        <f>"T03"</f>
        <v>T03</v>
      </c>
      <c r="N348" s="1" t="str">
        <f t="shared" si="117"/>
        <v>Y</v>
      </c>
      <c r="O348" s="1" t="str">
        <f t="shared" si="119"/>
        <v>Y</v>
      </c>
      <c r="P348" s="1" t="str">
        <f t="shared" si="118"/>
        <v>Y</v>
      </c>
      <c r="Q348" s="1" t="str">
        <f t="shared" si="105"/>
        <v>A</v>
      </c>
    </row>
    <row r="349" spans="1:17" x14ac:dyDescent="0.3">
      <c r="A349" s="1" t="str">
        <f t="shared" si="116"/>
        <v>B</v>
      </c>
      <c r="B349" s="1" t="str">
        <f>"J0237"</f>
        <v>J0237</v>
      </c>
      <c r="C349" s="1" t="str">
        <f>"고혈압 전단계(2차)"</f>
        <v>고혈압 전단계(2차)</v>
      </c>
      <c r="D349" s="1" t="str">
        <f>"현재 높은 정상 범위의 혈압으로 고혈압 전단계에 해당합니다. 저염식 운동 표준체중 등의 자기관리 및 주기적 혈압측정 하시기 바랍니다."</f>
        <v>현재 높은 정상 범위의 혈압으로 고혈압 전단계에 해당합니다. 저염식 운동 표준체중 등의 자기관리 및 주기적 혈압측정 하시기 바랍니다.</v>
      </c>
      <c r="E349" s="1" t="str">
        <f>"WOK01"</f>
        <v>WOK01</v>
      </c>
      <c r="F349" s="1" t="str">
        <f>"PTM00"</f>
        <v>PTM00</v>
      </c>
      <c r="G349" s="1" t="str">
        <f>"DISI"</f>
        <v>DISI</v>
      </c>
      <c r="H349" s="1" t="str">
        <f>"REL03"</f>
        <v>REL03</v>
      </c>
      <c r="I349" s="1" t="str">
        <f>""</f>
        <v/>
      </c>
      <c r="J349" s="1" t="str">
        <f>"C03A"</f>
        <v>C03A</v>
      </c>
      <c r="K349" s="1" t="str">
        <f>"C03A"</f>
        <v>C03A</v>
      </c>
      <c r="L349" s="1" t="str">
        <f t="shared" si="113"/>
        <v>R</v>
      </c>
      <c r="M349" s="1" t="str">
        <f>"T03"</f>
        <v>T03</v>
      </c>
      <c r="N349" s="1" t="str">
        <f t="shared" si="117"/>
        <v>Y</v>
      </c>
      <c r="O349" s="1" t="str">
        <f t="shared" si="119"/>
        <v>Y</v>
      </c>
      <c r="P349" s="1" t="str">
        <f t="shared" si="118"/>
        <v>Y</v>
      </c>
      <c r="Q349" s="1" t="str">
        <f t="shared" si="105"/>
        <v>A</v>
      </c>
    </row>
    <row r="350" spans="1:17" x14ac:dyDescent="0.3">
      <c r="A350" s="1" t="str">
        <f t="shared" si="116"/>
        <v>B</v>
      </c>
      <c r="B350" s="1" t="str">
        <f>"J02410"</f>
        <v>J02410</v>
      </c>
      <c r="C350" s="1" t="str">
        <f>"요소질소 감소"</f>
        <v>요소질소 감소</v>
      </c>
      <c r="D350" s="1" t="s">
        <v>94</v>
      </c>
      <c r="E350" s="1" t="str">
        <f>""</f>
        <v/>
      </c>
      <c r="F350" s="1" t="str">
        <f>""</f>
        <v/>
      </c>
      <c r="G350" s="1" t="str">
        <f>""</f>
        <v/>
      </c>
      <c r="H350" s="1" t="str">
        <f>""</f>
        <v/>
      </c>
      <c r="I350" s="1" t="str">
        <f>""</f>
        <v/>
      </c>
      <c r="J350" s="1" t="str">
        <f>""</f>
        <v/>
      </c>
      <c r="K350" s="1" t="str">
        <f>""</f>
        <v/>
      </c>
      <c r="L350" s="1" t="str">
        <f t="shared" si="113"/>
        <v>R</v>
      </c>
      <c r="M350" s="1" t="str">
        <f>""</f>
        <v/>
      </c>
      <c r="N350" s="1" t="str">
        <f t="shared" si="117"/>
        <v>Y</v>
      </c>
      <c r="O350" s="1" t="str">
        <f t="shared" si="119"/>
        <v>Y</v>
      </c>
      <c r="P350" s="1" t="str">
        <f t="shared" si="118"/>
        <v>Y</v>
      </c>
      <c r="Q350" s="1" t="str">
        <f t="shared" si="105"/>
        <v>A</v>
      </c>
    </row>
    <row r="351" spans="1:17" x14ac:dyDescent="0.3">
      <c r="A351" s="1" t="str">
        <f t="shared" si="116"/>
        <v>B</v>
      </c>
      <c r="B351" s="1" t="str">
        <f>"J0258"</f>
        <v>J0258</v>
      </c>
      <c r="C351" s="1" t="str">
        <f>"백의고혈압"</f>
        <v>백의고혈압</v>
      </c>
      <c r="D351" s="1" t="str">
        <f>"주기적인 혈압 측정 하시기 바랍니다."</f>
        <v>주기적인 혈압 측정 하시기 바랍니다.</v>
      </c>
      <c r="E351" s="1" t="str">
        <f>""</f>
        <v/>
      </c>
      <c r="F351" s="1" t="str">
        <f>""</f>
        <v/>
      </c>
      <c r="G351" s="1" t="str">
        <f>""</f>
        <v/>
      </c>
      <c r="H351" s="1" t="str">
        <f>""</f>
        <v/>
      </c>
      <c r="I351" s="1" t="str">
        <f>""</f>
        <v/>
      </c>
      <c r="J351" s="1" t="str">
        <f>""</f>
        <v/>
      </c>
      <c r="K351" s="1" t="str">
        <f>""</f>
        <v/>
      </c>
      <c r="L351" s="1" t="str">
        <f t="shared" si="113"/>
        <v>R</v>
      </c>
      <c r="M351" s="1" t="str">
        <f>""</f>
        <v/>
      </c>
      <c r="N351" s="1" t="str">
        <f t="shared" si="117"/>
        <v>Y</v>
      </c>
      <c r="O351" s="1" t="str">
        <f t="shared" si="119"/>
        <v>Y</v>
      </c>
      <c r="P351" s="1" t="str">
        <f t="shared" si="118"/>
        <v>Y</v>
      </c>
      <c r="Q351" s="1" t="str">
        <f t="shared" si="105"/>
        <v>A</v>
      </c>
    </row>
    <row r="352" spans="1:17" x14ac:dyDescent="0.3">
      <c r="A352" s="1" t="str">
        <f t="shared" si="116"/>
        <v>B</v>
      </c>
      <c r="B352" s="1" t="str">
        <f>"J0260"</f>
        <v>J0260</v>
      </c>
      <c r="C352" s="1" t="str">
        <f>"골밀도 검사상 경계범위(골밀도 감소증)"</f>
        <v>골밀도 검사상 경계범위(골밀도 감소증)</v>
      </c>
      <c r="D352" s="1" t="str">
        <f>"체중부하 운동 하시고 칼슘성분이 풍부한 식이를 하세요."</f>
        <v>체중부하 운동 하시고 칼슘성분이 풍부한 식이를 하세요.</v>
      </c>
      <c r="E352" s="1" t="str">
        <f>"WOK01"</f>
        <v>WOK01</v>
      </c>
      <c r="F352" s="1" t="str">
        <f>""</f>
        <v/>
      </c>
      <c r="G352" s="1" t="str">
        <f>"DISM"</f>
        <v>DISM</v>
      </c>
      <c r="H352" s="1" t="str">
        <f>"REL32"</f>
        <v>REL32</v>
      </c>
      <c r="I352" s="1" t="str">
        <f>""</f>
        <v/>
      </c>
      <c r="J352" s="1" t="str">
        <f>"C43C"</f>
        <v>C43C</v>
      </c>
      <c r="K352" s="1" t="str">
        <f>"C43C"</f>
        <v>C43C</v>
      </c>
      <c r="L352" s="1" t="str">
        <f t="shared" si="113"/>
        <v>R</v>
      </c>
      <c r="M352" s="1" t="str">
        <f>""</f>
        <v/>
      </c>
      <c r="N352" s="1" t="str">
        <f t="shared" si="117"/>
        <v>Y</v>
      </c>
      <c r="O352" s="1" t="str">
        <f t="shared" si="119"/>
        <v>Y</v>
      </c>
      <c r="P352" s="1" t="str">
        <f t="shared" si="118"/>
        <v>Y</v>
      </c>
      <c r="Q352" s="1" t="str">
        <f t="shared" si="105"/>
        <v>A</v>
      </c>
    </row>
    <row r="353" spans="1:17" x14ac:dyDescent="0.3">
      <c r="A353" s="1" t="str">
        <f t="shared" si="116"/>
        <v>B</v>
      </c>
      <c r="B353" s="1" t="str">
        <f>"J0287"</f>
        <v>J0287</v>
      </c>
      <c r="C353" s="1" t="str">
        <f>"백의고혈압 의심"</f>
        <v>백의고혈압 의심</v>
      </c>
      <c r="D353" s="1" t="str">
        <f>"주기적인 혈압 측정 하시기 바랍니다."</f>
        <v>주기적인 혈압 측정 하시기 바랍니다.</v>
      </c>
      <c r="E353" s="1" t="str">
        <f>""</f>
        <v/>
      </c>
      <c r="F353" s="1" t="str">
        <f>""</f>
        <v/>
      </c>
      <c r="G353" s="1" t="str">
        <f>""</f>
        <v/>
      </c>
      <c r="H353" s="1" t="str">
        <f>""</f>
        <v/>
      </c>
      <c r="I353" s="1" t="str">
        <f>""</f>
        <v/>
      </c>
      <c r="J353" s="1" t="str">
        <f>""</f>
        <v/>
      </c>
      <c r="K353" s="1" t="str">
        <f>""</f>
        <v/>
      </c>
      <c r="L353" s="1" t="str">
        <f t="shared" si="113"/>
        <v>R</v>
      </c>
      <c r="M353" s="1" t="str">
        <f>""</f>
        <v/>
      </c>
      <c r="N353" s="1" t="str">
        <f t="shared" si="117"/>
        <v>Y</v>
      </c>
      <c r="O353" s="1" t="str">
        <f t="shared" si="119"/>
        <v>Y</v>
      </c>
      <c r="P353" s="1" t="str">
        <f t="shared" si="118"/>
        <v>Y</v>
      </c>
      <c r="Q353" s="1" t="str">
        <f t="shared" si="105"/>
        <v>A</v>
      </c>
    </row>
    <row r="354" spans="1:17" x14ac:dyDescent="0.3">
      <c r="A354" s="1" t="str">
        <f t="shared" si="116"/>
        <v>B</v>
      </c>
      <c r="B354" s="1" t="str">
        <f>"J0495"</f>
        <v>J0495</v>
      </c>
      <c r="C354" s="1" t="str">
        <f>"비활동성 폐결핵"</f>
        <v>비활동성 폐결핵</v>
      </c>
      <c r="D354" s="1" t="str">
        <f>"흉부방사선 검사상 결핵등 과거 염증흔적으로 정상소견입니다."</f>
        <v>흉부방사선 검사상 결핵등 과거 염증흔적으로 정상소견입니다.</v>
      </c>
      <c r="E354" s="1" t="str">
        <f>"WOK01"</f>
        <v>WOK01</v>
      </c>
      <c r="F354" s="1" t="str">
        <f>"PTM00"</f>
        <v>PTM00</v>
      </c>
      <c r="G354" s="1" t="str">
        <f>"DISJ"</f>
        <v>DISJ</v>
      </c>
      <c r="H354" s="1" t="str">
        <f>"REL01"</f>
        <v>REL01</v>
      </c>
      <c r="I354" s="1" t="str">
        <f>""</f>
        <v/>
      </c>
      <c r="J354" s="1" t="str">
        <f>"C01A"</f>
        <v>C01A</v>
      </c>
      <c r="K354" s="1" t="str">
        <f>"C01A"</f>
        <v>C01A</v>
      </c>
      <c r="L354" s="1" t="str">
        <f t="shared" si="113"/>
        <v>R</v>
      </c>
      <c r="M354" s="1" t="str">
        <f>"T04"</f>
        <v>T04</v>
      </c>
      <c r="N354" s="1" t="str">
        <f t="shared" si="117"/>
        <v>Y</v>
      </c>
      <c r="O354" s="1" t="str">
        <f t="shared" si="119"/>
        <v>Y</v>
      </c>
      <c r="P354" s="1" t="str">
        <f t="shared" si="118"/>
        <v>Y</v>
      </c>
      <c r="Q354" s="1" t="str">
        <f t="shared" si="105"/>
        <v>A</v>
      </c>
    </row>
    <row r="355" spans="1:17" x14ac:dyDescent="0.3">
      <c r="A355" s="1" t="str">
        <f t="shared" si="116"/>
        <v>B</v>
      </c>
      <c r="B355" s="1" t="str">
        <f>"J0497"</f>
        <v>J0497</v>
      </c>
      <c r="C355" s="1" t="str">
        <f>"비활동성 폐결핵"</f>
        <v>비활동성 폐결핵</v>
      </c>
      <c r="D355" s="1" t="str">
        <f>"흉부방사선 검사상 결핵 등 과거 염증 흔적으로 정상소견입니다."</f>
        <v>흉부방사선 검사상 결핵 등 과거 염증 흔적으로 정상소견입니다.</v>
      </c>
      <c r="E355" s="1" t="str">
        <f>"WOK01"</f>
        <v>WOK01</v>
      </c>
      <c r="F355" s="1" t="str">
        <f>"PTM00"</f>
        <v>PTM00</v>
      </c>
      <c r="G355" s="1" t="str">
        <f>"DISJ"</f>
        <v>DISJ</v>
      </c>
      <c r="H355" s="1" t="str">
        <f>"REL01"</f>
        <v>REL01</v>
      </c>
      <c r="I355" s="1" t="str">
        <f>""</f>
        <v/>
      </c>
      <c r="J355" s="1" t="str">
        <f>"C01A"</f>
        <v>C01A</v>
      </c>
      <c r="K355" s="1" t="str">
        <f>"C01A"</f>
        <v>C01A</v>
      </c>
      <c r="L355" s="1" t="str">
        <f t="shared" si="113"/>
        <v>R</v>
      </c>
      <c r="M355" s="1" t="str">
        <f>"T04"</f>
        <v>T04</v>
      </c>
      <c r="N355" s="1" t="str">
        <f t="shared" si="117"/>
        <v>Y</v>
      </c>
      <c r="O355" s="1" t="str">
        <f t="shared" si="119"/>
        <v>Y</v>
      </c>
      <c r="P355" s="1" t="str">
        <f t="shared" si="118"/>
        <v>Y</v>
      </c>
      <c r="Q355" s="1" t="str">
        <f t="shared" si="105"/>
        <v>A</v>
      </c>
    </row>
    <row r="356" spans="1:17" x14ac:dyDescent="0.3">
      <c r="A356" s="1" t="str">
        <f t="shared" si="116"/>
        <v>B</v>
      </c>
      <c r="B356" s="1" t="str">
        <f>"L102001"</f>
        <v>L102001</v>
      </c>
      <c r="C356" s="1" t="str">
        <f>"적혈구혈색소농도 감소"</f>
        <v>적혈구혈색소농도 감소</v>
      </c>
      <c r="D356" s="1" t="s">
        <v>48</v>
      </c>
      <c r="E356" s="1" t="str">
        <f>""</f>
        <v/>
      </c>
      <c r="F356" s="1" t="str">
        <f>""</f>
        <v/>
      </c>
      <c r="G356" s="1" t="str">
        <f>""</f>
        <v/>
      </c>
      <c r="H356" s="1" t="str">
        <f>""</f>
        <v/>
      </c>
      <c r="I356" s="1" t="str">
        <f>""</f>
        <v/>
      </c>
      <c r="J356" s="1" t="str">
        <f>""</f>
        <v/>
      </c>
      <c r="K356" s="1" t="str">
        <f>""</f>
        <v/>
      </c>
      <c r="L356" s="1" t="str">
        <f t="shared" si="113"/>
        <v>R</v>
      </c>
      <c r="M356" s="1" t="str">
        <f>""</f>
        <v/>
      </c>
      <c r="N356" s="1" t="str">
        <f t="shared" si="117"/>
        <v>Y</v>
      </c>
      <c r="O356" s="1" t="str">
        <f t="shared" si="119"/>
        <v>Y</v>
      </c>
      <c r="P356" s="1" t="str">
        <f t="shared" si="118"/>
        <v>Y</v>
      </c>
      <c r="Q356" s="1" t="str">
        <f t="shared" si="105"/>
        <v>A</v>
      </c>
    </row>
    <row r="357" spans="1:17" x14ac:dyDescent="0.3">
      <c r="A357" s="1" t="str">
        <f t="shared" si="116"/>
        <v>B</v>
      </c>
      <c r="B357" s="1" t="str">
        <f>"L102002"</f>
        <v>L102002</v>
      </c>
      <c r="C357" s="1" t="str">
        <f>"적혈구평균혈색소 증가"</f>
        <v>적혈구평균혈색소 증가</v>
      </c>
      <c r="D357" s="1" t="s">
        <v>48</v>
      </c>
      <c r="E357" s="1" t="str">
        <f>""</f>
        <v/>
      </c>
      <c r="F357" s="1" t="str">
        <f>""</f>
        <v/>
      </c>
      <c r="G357" s="1" t="str">
        <f>""</f>
        <v/>
      </c>
      <c r="H357" s="1" t="str">
        <f>""</f>
        <v/>
      </c>
      <c r="I357" s="1" t="str">
        <f>""</f>
        <v/>
      </c>
      <c r="J357" s="1" t="str">
        <f>""</f>
        <v/>
      </c>
      <c r="K357" s="1" t="str">
        <f>""</f>
        <v/>
      </c>
      <c r="L357" s="1" t="str">
        <f t="shared" si="113"/>
        <v>R</v>
      </c>
      <c r="M357" s="1" t="str">
        <f>""</f>
        <v/>
      </c>
      <c r="N357" s="1" t="str">
        <f t="shared" si="117"/>
        <v>Y</v>
      </c>
      <c r="O357" s="1" t="str">
        <f t="shared" si="119"/>
        <v>Y</v>
      </c>
      <c r="P357" s="1" t="str">
        <f t="shared" si="118"/>
        <v>Y</v>
      </c>
      <c r="Q357" s="1" t="str">
        <f t="shared" si="105"/>
        <v>A</v>
      </c>
    </row>
    <row r="358" spans="1:17" x14ac:dyDescent="0.3">
      <c r="A358" s="1" t="str">
        <f t="shared" si="116"/>
        <v>B</v>
      </c>
      <c r="B358" s="1" t="str">
        <f>"L102011"</f>
        <v>L102011</v>
      </c>
      <c r="C358" s="1" t="str">
        <f>"평균적혈구용적 감소"</f>
        <v>평균적혈구용적 감소</v>
      </c>
      <c r="D358" s="1" t="s">
        <v>48</v>
      </c>
      <c r="E358" s="1" t="str">
        <f>""</f>
        <v/>
      </c>
      <c r="F358" s="1" t="str">
        <f>""</f>
        <v/>
      </c>
      <c r="G358" s="1" t="str">
        <f>""</f>
        <v/>
      </c>
      <c r="H358" s="1" t="str">
        <f>""</f>
        <v/>
      </c>
      <c r="I358" s="1" t="str">
        <f>""</f>
        <v/>
      </c>
      <c r="J358" s="1" t="str">
        <f>""</f>
        <v/>
      </c>
      <c r="K358" s="1" t="str">
        <f>""</f>
        <v/>
      </c>
      <c r="L358" s="1" t="str">
        <f t="shared" si="113"/>
        <v>R</v>
      </c>
      <c r="M358" s="1" t="str">
        <f>""</f>
        <v/>
      </c>
      <c r="N358" s="1" t="str">
        <f t="shared" si="117"/>
        <v>Y</v>
      </c>
      <c r="O358" s="1" t="str">
        <f t="shared" si="119"/>
        <v>Y</v>
      </c>
      <c r="P358" s="1" t="str">
        <f t="shared" si="118"/>
        <v>Y</v>
      </c>
      <c r="Q358" s="1" t="str">
        <f t="shared" si="105"/>
        <v>A</v>
      </c>
    </row>
    <row r="359" spans="1:17" x14ac:dyDescent="0.3">
      <c r="A359" s="1" t="str">
        <f t="shared" ref="A359:A390" si="120">"B"</f>
        <v>B</v>
      </c>
      <c r="B359" s="1" t="str">
        <f>"L102012"</f>
        <v>L102012</v>
      </c>
      <c r="C359" s="1" t="str">
        <f>"평균적혈구용적 증가"</f>
        <v>평균적혈구용적 증가</v>
      </c>
      <c r="D359" s="1" t="s">
        <v>48</v>
      </c>
      <c r="E359" s="1" t="str">
        <f>""</f>
        <v/>
      </c>
      <c r="F359" s="1" t="str">
        <f>""</f>
        <v/>
      </c>
      <c r="G359" s="1" t="str">
        <f>""</f>
        <v/>
      </c>
      <c r="H359" s="1" t="str">
        <f>""</f>
        <v/>
      </c>
      <c r="I359" s="1" t="str">
        <f>""</f>
        <v/>
      </c>
      <c r="J359" s="1" t="str">
        <f>""</f>
        <v/>
      </c>
      <c r="K359" s="1" t="str">
        <f>""</f>
        <v/>
      </c>
      <c r="L359" s="1" t="str">
        <f t="shared" si="113"/>
        <v>R</v>
      </c>
      <c r="M359" s="1" t="str">
        <f>""</f>
        <v/>
      </c>
      <c r="N359" s="1" t="str">
        <f t="shared" si="117"/>
        <v>Y</v>
      </c>
      <c r="O359" s="1" t="str">
        <f t="shared" si="119"/>
        <v>Y</v>
      </c>
      <c r="P359" s="1" t="str">
        <f t="shared" si="118"/>
        <v>Y</v>
      </c>
      <c r="Q359" s="1" t="str">
        <f t="shared" ref="Q359:Q422" si="121">"A"</f>
        <v>A</v>
      </c>
    </row>
    <row r="360" spans="1:17" x14ac:dyDescent="0.3">
      <c r="A360" s="1" t="str">
        <f t="shared" si="120"/>
        <v>B</v>
      </c>
      <c r="B360" s="1" t="str">
        <f>"L102013"</f>
        <v>L102013</v>
      </c>
      <c r="C360" s="1" t="str">
        <f>"평균적혈구혈색소 증가"</f>
        <v>평균적혈구혈색소 증가</v>
      </c>
      <c r="D360" s="1" t="s">
        <v>48</v>
      </c>
      <c r="E360" s="1" t="str">
        <f>""</f>
        <v/>
      </c>
      <c r="F360" s="1" t="str">
        <f>""</f>
        <v/>
      </c>
      <c r="G360" s="1" t="str">
        <f>""</f>
        <v/>
      </c>
      <c r="H360" s="1" t="str">
        <f>""</f>
        <v/>
      </c>
      <c r="I360" s="1" t="str">
        <f>""</f>
        <v/>
      </c>
      <c r="J360" s="1" t="str">
        <f>""</f>
        <v/>
      </c>
      <c r="K360" s="1" t="str">
        <f>""</f>
        <v/>
      </c>
      <c r="L360" s="1" t="str">
        <f t="shared" si="113"/>
        <v>R</v>
      </c>
      <c r="M360" s="1" t="str">
        <f>""</f>
        <v/>
      </c>
      <c r="N360" s="1" t="str">
        <f t="shared" si="117"/>
        <v>Y</v>
      </c>
      <c r="O360" s="1" t="str">
        <f t="shared" si="119"/>
        <v>Y</v>
      </c>
      <c r="P360" s="1" t="str">
        <f t="shared" si="118"/>
        <v>Y</v>
      </c>
      <c r="Q360" s="1" t="str">
        <f t="shared" si="121"/>
        <v>A</v>
      </c>
    </row>
    <row r="361" spans="1:17" x14ac:dyDescent="0.3">
      <c r="A361" s="1" t="str">
        <f t="shared" si="120"/>
        <v>B</v>
      </c>
      <c r="B361" s="1" t="str">
        <f>"L102014"</f>
        <v>L102014</v>
      </c>
      <c r="C361" s="1" t="str">
        <f>"평균적혈구혈색소 감소"</f>
        <v>평균적혈구혈색소 감소</v>
      </c>
      <c r="D361" s="1" t="s">
        <v>48</v>
      </c>
      <c r="E361" s="1" t="str">
        <f>""</f>
        <v/>
      </c>
      <c r="F361" s="1" t="str">
        <f>""</f>
        <v/>
      </c>
      <c r="G361" s="1" t="str">
        <f>""</f>
        <v/>
      </c>
      <c r="H361" s="1" t="str">
        <f>""</f>
        <v/>
      </c>
      <c r="I361" s="1" t="str">
        <f>""</f>
        <v/>
      </c>
      <c r="J361" s="1" t="str">
        <f>""</f>
        <v/>
      </c>
      <c r="K361" s="1" t="str">
        <f>""</f>
        <v/>
      </c>
      <c r="L361" s="1" t="str">
        <f t="shared" si="113"/>
        <v>R</v>
      </c>
      <c r="M361" s="1" t="str">
        <f>""</f>
        <v/>
      </c>
      <c r="N361" s="1" t="str">
        <f t="shared" ref="N361:N397" si="122">"Y"</f>
        <v>Y</v>
      </c>
      <c r="O361" s="1" t="str">
        <f t="shared" si="119"/>
        <v>Y</v>
      </c>
      <c r="P361" s="1" t="str">
        <f t="shared" si="118"/>
        <v>Y</v>
      </c>
      <c r="Q361" s="1" t="str">
        <f t="shared" si="121"/>
        <v>A</v>
      </c>
    </row>
    <row r="362" spans="1:17" x14ac:dyDescent="0.3">
      <c r="A362" s="1" t="str">
        <f t="shared" si="120"/>
        <v>B</v>
      </c>
      <c r="B362" s="1" t="str">
        <f>"L102015"</f>
        <v>L102015</v>
      </c>
      <c r="C362" s="1" t="str">
        <f>"평균적혈구혈색소농도 감소"</f>
        <v>평균적혈구혈색소농도 감소</v>
      </c>
      <c r="D362" s="1" t="s">
        <v>48</v>
      </c>
      <c r="E362" s="1" t="str">
        <f>""</f>
        <v/>
      </c>
      <c r="F362" s="1" t="str">
        <f>""</f>
        <v/>
      </c>
      <c r="G362" s="1" t="str">
        <f>""</f>
        <v/>
      </c>
      <c r="H362" s="1" t="str">
        <f>""</f>
        <v/>
      </c>
      <c r="I362" s="1" t="str">
        <f>""</f>
        <v/>
      </c>
      <c r="J362" s="1" t="str">
        <f>""</f>
        <v/>
      </c>
      <c r="K362" s="1" t="str">
        <f>""</f>
        <v/>
      </c>
      <c r="L362" s="1" t="str">
        <f t="shared" si="113"/>
        <v>R</v>
      </c>
      <c r="M362" s="1" t="str">
        <f>""</f>
        <v/>
      </c>
      <c r="N362" s="1" t="str">
        <f t="shared" si="122"/>
        <v>Y</v>
      </c>
      <c r="O362" s="1" t="str">
        <f t="shared" si="119"/>
        <v>Y</v>
      </c>
      <c r="P362" s="1" t="str">
        <f t="shared" si="118"/>
        <v>Y</v>
      </c>
      <c r="Q362" s="1" t="str">
        <f t="shared" si="121"/>
        <v>A</v>
      </c>
    </row>
    <row r="363" spans="1:17" x14ac:dyDescent="0.3">
      <c r="A363" s="1" t="str">
        <f t="shared" si="120"/>
        <v>B</v>
      </c>
      <c r="B363" s="1" t="str">
        <f>"L102016"</f>
        <v>L102016</v>
      </c>
      <c r="C363" s="1" t="str">
        <f>"평균적혈구용적 초과"</f>
        <v>평균적혈구용적 초과</v>
      </c>
      <c r="D363" s="1" t="s">
        <v>95</v>
      </c>
      <c r="E363" s="1" t="str">
        <f>""</f>
        <v/>
      </c>
      <c r="F363" s="1" t="str">
        <f>""</f>
        <v/>
      </c>
      <c r="G363" s="1" t="str">
        <f>""</f>
        <v/>
      </c>
      <c r="H363" s="1" t="str">
        <f>""</f>
        <v/>
      </c>
      <c r="I363" s="1" t="str">
        <f>""</f>
        <v/>
      </c>
      <c r="J363" s="1" t="str">
        <f>""</f>
        <v/>
      </c>
      <c r="K363" s="1" t="str">
        <f>""</f>
        <v/>
      </c>
      <c r="L363" s="1" t="str">
        <f t="shared" si="113"/>
        <v>R</v>
      </c>
      <c r="M363" s="1" t="str">
        <f>""</f>
        <v/>
      </c>
      <c r="N363" s="1" t="str">
        <f t="shared" si="122"/>
        <v>Y</v>
      </c>
      <c r="O363" s="1" t="str">
        <f t="shared" si="119"/>
        <v>Y</v>
      </c>
      <c r="P363" s="1" t="str">
        <f t="shared" si="118"/>
        <v>Y</v>
      </c>
      <c r="Q363" s="1" t="str">
        <f t="shared" si="121"/>
        <v>A</v>
      </c>
    </row>
    <row r="364" spans="1:17" x14ac:dyDescent="0.3">
      <c r="A364" s="1" t="str">
        <f t="shared" si="120"/>
        <v>B</v>
      </c>
      <c r="B364" s="1" t="str">
        <f>"L102017"</f>
        <v>L102017</v>
      </c>
      <c r="C364" s="1" t="str">
        <f>"혈구용적치 감소"</f>
        <v>혈구용적치 감소</v>
      </c>
      <c r="D364" s="1" t="str">
        <f>"혈구용적치 수치가 감소하였습니다. 철분 충분히 섭취하고 어지러움 등의 증상 없다면 추적관찰 바랍니다."</f>
        <v>혈구용적치 수치가 감소하였습니다. 철분 충분히 섭취하고 어지러움 등의 증상 없다면 추적관찰 바랍니다.</v>
      </c>
      <c r="E364" s="1" t="str">
        <f>"WOK01"</f>
        <v>WOK01</v>
      </c>
      <c r="F364" s="1" t="str">
        <f>"PTM011"</f>
        <v>PTM011</v>
      </c>
      <c r="G364" s="1" t="str">
        <f>"DISD"</f>
        <v>DISD</v>
      </c>
      <c r="H364" s="1" t="str">
        <f>"REL12"</f>
        <v>REL12</v>
      </c>
      <c r="I364" s="1" t="str">
        <f>""</f>
        <v/>
      </c>
      <c r="J364" s="1" t="str">
        <f>""</f>
        <v/>
      </c>
      <c r="K364" s="1" t="str">
        <f>""</f>
        <v/>
      </c>
      <c r="L364" s="1" t="str">
        <f t="shared" si="113"/>
        <v>R</v>
      </c>
      <c r="M364" s="1" t="str">
        <f>"T01"</f>
        <v>T01</v>
      </c>
      <c r="N364" s="1" t="str">
        <f t="shared" si="122"/>
        <v>Y</v>
      </c>
      <c r="O364" s="1" t="str">
        <f t="shared" si="119"/>
        <v>Y</v>
      </c>
      <c r="P364" s="1" t="str">
        <f t="shared" si="118"/>
        <v>Y</v>
      </c>
      <c r="Q364" s="1" t="str">
        <f t="shared" si="121"/>
        <v>A</v>
      </c>
    </row>
    <row r="365" spans="1:17" x14ac:dyDescent="0.3">
      <c r="A365" s="1" t="str">
        <f t="shared" si="120"/>
        <v>B</v>
      </c>
      <c r="B365" s="1" t="str">
        <f>"L102018"</f>
        <v>L102018</v>
      </c>
      <c r="C365" s="1" t="str">
        <f>"혈구용적치 증가"</f>
        <v>혈구용적치 증가</v>
      </c>
      <c r="D365" s="1" t="s">
        <v>96</v>
      </c>
      <c r="E365" s="1" t="str">
        <f>"WOK01"</f>
        <v>WOK01</v>
      </c>
      <c r="F365" s="1" t="str">
        <f>"PTM011"</f>
        <v>PTM011</v>
      </c>
      <c r="G365" s="1" t="str">
        <f>"DISD"</f>
        <v>DISD</v>
      </c>
      <c r="H365" s="1" t="str">
        <f>"REL12"</f>
        <v>REL12</v>
      </c>
      <c r="I365" s="1" t="str">
        <f>""</f>
        <v/>
      </c>
      <c r="J365" s="1" t="str">
        <f>""</f>
        <v/>
      </c>
      <c r="K365" s="1" t="str">
        <f>""</f>
        <v/>
      </c>
      <c r="L365" s="1" t="str">
        <f t="shared" si="113"/>
        <v>R</v>
      </c>
      <c r="M365" s="1" t="str">
        <f>"T01"</f>
        <v>T01</v>
      </c>
      <c r="N365" s="1" t="str">
        <f t="shared" si="122"/>
        <v>Y</v>
      </c>
      <c r="O365" s="1" t="str">
        <f t="shared" si="119"/>
        <v>Y</v>
      </c>
      <c r="P365" s="1" t="str">
        <f t="shared" si="118"/>
        <v>Y</v>
      </c>
      <c r="Q365" s="1" t="str">
        <f t="shared" si="121"/>
        <v>A</v>
      </c>
    </row>
    <row r="366" spans="1:17" x14ac:dyDescent="0.3">
      <c r="A366" s="1" t="str">
        <f t="shared" si="120"/>
        <v>B</v>
      </c>
      <c r="B366" s="1" t="str">
        <f>"L102019"</f>
        <v>L102019</v>
      </c>
      <c r="C366" s="1" t="str">
        <f>"평균적혈구혈색소농도 증가"</f>
        <v>평균적혈구혈색소농도 증가</v>
      </c>
      <c r="D366" s="1" t="s">
        <v>48</v>
      </c>
      <c r="E366" s="1" t="str">
        <f>""</f>
        <v/>
      </c>
      <c r="F366" s="1" t="str">
        <f>""</f>
        <v/>
      </c>
      <c r="G366" s="1" t="str">
        <f>""</f>
        <v/>
      </c>
      <c r="H366" s="1" t="str">
        <f>""</f>
        <v/>
      </c>
      <c r="I366" s="1" t="str">
        <f>""</f>
        <v/>
      </c>
      <c r="J366" s="1" t="str">
        <f>""</f>
        <v/>
      </c>
      <c r="K366" s="1" t="str">
        <f>""</f>
        <v/>
      </c>
      <c r="L366" s="1" t="str">
        <f t="shared" si="113"/>
        <v>R</v>
      </c>
      <c r="M366" s="1" t="str">
        <f>""</f>
        <v/>
      </c>
      <c r="N366" s="1" t="str">
        <f t="shared" si="122"/>
        <v>Y</v>
      </c>
      <c r="O366" s="1" t="str">
        <f t="shared" si="119"/>
        <v>Y</v>
      </c>
      <c r="P366" s="1" t="str">
        <f t="shared" si="118"/>
        <v>Y</v>
      </c>
      <c r="Q366" s="1" t="str">
        <f t="shared" si="121"/>
        <v>A</v>
      </c>
    </row>
    <row r="367" spans="1:17" x14ac:dyDescent="0.3">
      <c r="A367" s="1" t="str">
        <f t="shared" si="120"/>
        <v>B</v>
      </c>
      <c r="B367" s="1" t="str">
        <f>"L102020"</f>
        <v>L102020</v>
      </c>
      <c r="C367" s="1" t="str">
        <f>"적혈구분포폭 감소"</f>
        <v>적혈구분포폭 감소</v>
      </c>
      <c r="D367" s="1" t="s">
        <v>48</v>
      </c>
      <c r="E367" s="1" t="str">
        <f>""</f>
        <v/>
      </c>
      <c r="F367" s="1" t="str">
        <f>""</f>
        <v/>
      </c>
      <c r="G367" s="1" t="str">
        <f>""</f>
        <v/>
      </c>
      <c r="H367" s="1" t="str">
        <f>""</f>
        <v/>
      </c>
      <c r="I367" s="1" t="str">
        <f>""</f>
        <v/>
      </c>
      <c r="J367" s="1" t="str">
        <f>""</f>
        <v/>
      </c>
      <c r="K367" s="1" t="str">
        <f>""</f>
        <v/>
      </c>
      <c r="L367" s="1" t="str">
        <f t="shared" si="113"/>
        <v>R</v>
      </c>
      <c r="M367" s="1" t="str">
        <f>""</f>
        <v/>
      </c>
      <c r="N367" s="1" t="str">
        <f t="shared" si="122"/>
        <v>Y</v>
      </c>
      <c r="O367" s="1" t="str">
        <f t="shared" si="119"/>
        <v>Y</v>
      </c>
      <c r="P367" s="1" t="str">
        <f t="shared" si="118"/>
        <v>Y</v>
      </c>
      <c r="Q367" s="1" t="str">
        <f t="shared" si="121"/>
        <v>A</v>
      </c>
    </row>
    <row r="368" spans="1:17" x14ac:dyDescent="0.3">
      <c r="A368" s="1" t="str">
        <f t="shared" si="120"/>
        <v>B</v>
      </c>
      <c r="B368" s="1" t="str">
        <f>"L102021"</f>
        <v>L102021</v>
      </c>
      <c r="C368" s="1" t="str">
        <f>"적혈구분포폭 증가"</f>
        <v>적혈구분포폭 증가</v>
      </c>
      <c r="D368" s="1" t="s">
        <v>48</v>
      </c>
      <c r="E368" s="1" t="str">
        <f>""</f>
        <v/>
      </c>
      <c r="F368" s="1" t="str">
        <f>""</f>
        <v/>
      </c>
      <c r="G368" s="1" t="str">
        <f>""</f>
        <v/>
      </c>
      <c r="H368" s="1" t="str">
        <f>""</f>
        <v/>
      </c>
      <c r="I368" s="1" t="str">
        <f>""</f>
        <v/>
      </c>
      <c r="J368" s="1" t="str">
        <f>""</f>
        <v/>
      </c>
      <c r="K368" s="1" t="str">
        <f>""</f>
        <v/>
      </c>
      <c r="L368" s="1" t="str">
        <f t="shared" si="113"/>
        <v>R</v>
      </c>
      <c r="M368" s="1" t="str">
        <f>""</f>
        <v/>
      </c>
      <c r="N368" s="1" t="str">
        <f t="shared" si="122"/>
        <v>Y</v>
      </c>
      <c r="O368" s="1" t="str">
        <f t="shared" si="119"/>
        <v>Y</v>
      </c>
      <c r="P368" s="1" t="str">
        <f t="shared" si="118"/>
        <v>Y</v>
      </c>
      <c r="Q368" s="1" t="str">
        <f t="shared" si="121"/>
        <v>A</v>
      </c>
    </row>
    <row r="369" spans="1:17" x14ac:dyDescent="0.3">
      <c r="A369" s="1" t="str">
        <f t="shared" si="120"/>
        <v>B</v>
      </c>
      <c r="B369" s="1" t="str">
        <f>"L104002"</f>
        <v>L104002</v>
      </c>
      <c r="C369" s="1" t="str">
        <f>"적혈구 증가"</f>
        <v>적혈구 증가</v>
      </c>
      <c r="D369" s="1" t="str">
        <f>"적혈구 수치가 경미하게 증가하였으나 임상적으로 큰 의미 없습니다. 숨참 등의 증상 있을 경우 내과 진료 바랍니다."</f>
        <v>적혈구 수치가 경미하게 증가하였으나 임상적으로 큰 의미 없습니다. 숨참 등의 증상 있을 경우 내과 진료 바랍니다.</v>
      </c>
      <c r="E369" s="1" t="str">
        <f>"WOK02"</f>
        <v>WOK02</v>
      </c>
      <c r="F369" s="1" t="str">
        <f>"PTM03"</f>
        <v>PTM03</v>
      </c>
      <c r="G369" s="1" t="str">
        <f>"DISD"</f>
        <v>DISD</v>
      </c>
      <c r="H369" s="1" t="str">
        <f>"REL12"</f>
        <v>REL12</v>
      </c>
      <c r="I369" s="1" t="str">
        <f>""</f>
        <v/>
      </c>
      <c r="J369" s="1" t="str">
        <f>""</f>
        <v/>
      </c>
      <c r="K369" s="1" t="str">
        <f>""</f>
        <v/>
      </c>
      <c r="L369" s="1" t="str">
        <f t="shared" si="113"/>
        <v>R</v>
      </c>
      <c r="M369" s="1" t="str">
        <f>"T01"</f>
        <v>T01</v>
      </c>
      <c r="N369" s="1" t="str">
        <f t="shared" si="122"/>
        <v>Y</v>
      </c>
      <c r="O369" s="1" t="str">
        <f t="shared" si="119"/>
        <v>Y</v>
      </c>
      <c r="P369" s="1" t="str">
        <f t="shared" si="118"/>
        <v>Y</v>
      </c>
      <c r="Q369" s="1" t="str">
        <f t="shared" si="121"/>
        <v>A</v>
      </c>
    </row>
    <row r="370" spans="1:17" x14ac:dyDescent="0.3">
      <c r="A370" s="1" t="str">
        <f t="shared" si="120"/>
        <v>B</v>
      </c>
      <c r="B370" s="1" t="str">
        <f>"L105001"</f>
        <v>L105001</v>
      </c>
      <c r="C370" s="1" t="str">
        <f>"경미한 백혈구 증가"</f>
        <v>경미한 백혈구 증가</v>
      </c>
      <c r="D370" s="1" t="str">
        <f>"혈액검사에서 백혈구수가 증가하였습니다. 염증성 질환시 증가할 수 있으나 일시적 현상일 가능성도 있습니다. 다음 검사시에 추적관찰 바랍니다."</f>
        <v>혈액검사에서 백혈구수가 증가하였습니다. 염증성 질환시 증가할 수 있으나 일시적 현상일 가능성도 있습니다. 다음 검사시에 추적관찰 바랍니다.</v>
      </c>
      <c r="E370" s="1" t="str">
        <f>"WOK01"</f>
        <v>WOK01</v>
      </c>
      <c r="F370" s="1" t="str">
        <f>"PTM011"</f>
        <v>PTM011</v>
      </c>
      <c r="G370" s="1" t="str">
        <f>"DISD"</f>
        <v>DISD</v>
      </c>
      <c r="H370" s="1" t="str">
        <f>"REL12"</f>
        <v>REL12</v>
      </c>
      <c r="I370" s="1" t="str">
        <f>""</f>
        <v/>
      </c>
      <c r="J370" s="1" t="str">
        <f>""</f>
        <v/>
      </c>
      <c r="K370" s="1" t="str">
        <f>""</f>
        <v/>
      </c>
      <c r="L370" s="1" t="str">
        <f t="shared" si="113"/>
        <v>R</v>
      </c>
      <c r="M370" s="1" t="str">
        <f>"T01"</f>
        <v>T01</v>
      </c>
      <c r="N370" s="1" t="str">
        <f t="shared" si="122"/>
        <v>Y</v>
      </c>
      <c r="O370" s="1" t="str">
        <f t="shared" si="119"/>
        <v>Y</v>
      </c>
      <c r="P370" s="1" t="str">
        <f t="shared" si="118"/>
        <v>Y</v>
      </c>
      <c r="Q370" s="1" t="str">
        <f t="shared" si="121"/>
        <v>A</v>
      </c>
    </row>
    <row r="371" spans="1:17" x14ac:dyDescent="0.3">
      <c r="A371" s="1" t="str">
        <f t="shared" si="120"/>
        <v>B</v>
      </c>
      <c r="B371" s="1" t="str">
        <f>"L106101"</f>
        <v>L106101</v>
      </c>
      <c r="C371" s="1" t="str">
        <f>"평균혈소판용적 감소"</f>
        <v>평균혈소판용적 감소</v>
      </c>
      <c r="D371" s="1" t="s">
        <v>48</v>
      </c>
      <c r="E371" s="1" t="str">
        <f>""</f>
        <v/>
      </c>
      <c r="F371" s="1" t="str">
        <f>""</f>
        <v/>
      </c>
      <c r="G371" s="1" t="str">
        <f>""</f>
        <v/>
      </c>
      <c r="H371" s="1" t="str">
        <f>""</f>
        <v/>
      </c>
      <c r="I371" s="1" t="str">
        <f>""</f>
        <v/>
      </c>
      <c r="J371" s="1" t="str">
        <f>""</f>
        <v/>
      </c>
      <c r="K371" s="1" t="str">
        <f>""</f>
        <v/>
      </c>
      <c r="L371" s="1" t="str">
        <f t="shared" si="113"/>
        <v>R</v>
      </c>
      <c r="M371" s="1" t="str">
        <f>""</f>
        <v/>
      </c>
      <c r="N371" s="1" t="str">
        <f t="shared" si="122"/>
        <v>Y</v>
      </c>
      <c r="O371" s="1" t="str">
        <f t="shared" si="119"/>
        <v>Y</v>
      </c>
      <c r="P371" s="1" t="str">
        <f t="shared" si="118"/>
        <v>Y</v>
      </c>
      <c r="Q371" s="1" t="str">
        <f t="shared" si="121"/>
        <v>A</v>
      </c>
    </row>
    <row r="372" spans="1:17" x14ac:dyDescent="0.3">
      <c r="A372" s="1" t="str">
        <f t="shared" si="120"/>
        <v>B</v>
      </c>
      <c r="B372" s="1" t="str">
        <f>"L106102"</f>
        <v>L106102</v>
      </c>
      <c r="C372" s="1" t="str">
        <f>"평균혈소판용적 증가"</f>
        <v>평균혈소판용적 증가</v>
      </c>
      <c r="D372" s="1" t="s">
        <v>48</v>
      </c>
      <c r="E372" s="1" t="str">
        <f>""</f>
        <v/>
      </c>
      <c r="F372" s="1" t="str">
        <f>""</f>
        <v/>
      </c>
      <c r="G372" s="1" t="str">
        <f>""</f>
        <v/>
      </c>
      <c r="H372" s="1" t="str">
        <f>""</f>
        <v/>
      </c>
      <c r="I372" s="1" t="str">
        <f>""</f>
        <v/>
      </c>
      <c r="J372" s="1" t="str">
        <f>""</f>
        <v/>
      </c>
      <c r="K372" s="1" t="str">
        <f>""</f>
        <v/>
      </c>
      <c r="L372" s="1" t="str">
        <f t="shared" si="113"/>
        <v>R</v>
      </c>
      <c r="M372" s="1" t="str">
        <f>""</f>
        <v/>
      </c>
      <c r="N372" s="1" t="str">
        <f t="shared" si="122"/>
        <v>Y</v>
      </c>
      <c r="O372" s="1" t="str">
        <f t="shared" si="119"/>
        <v>Y</v>
      </c>
      <c r="P372" s="1" t="str">
        <f t="shared" si="118"/>
        <v>Y</v>
      </c>
      <c r="Q372" s="1" t="str">
        <f t="shared" si="121"/>
        <v>A</v>
      </c>
    </row>
    <row r="373" spans="1:17" x14ac:dyDescent="0.3">
      <c r="A373" s="1" t="str">
        <f t="shared" si="120"/>
        <v>B</v>
      </c>
      <c r="B373" s="1" t="str">
        <f>"L106201"</f>
        <v>L106201</v>
      </c>
      <c r="C373" s="1" t="str">
        <f>"혈소판분포폭 감소"</f>
        <v>혈소판분포폭 감소</v>
      </c>
      <c r="D373" s="1" t="s">
        <v>48</v>
      </c>
      <c r="E373" s="1" t="str">
        <f>""</f>
        <v/>
      </c>
      <c r="F373" s="1" t="str">
        <f>""</f>
        <v/>
      </c>
      <c r="G373" s="1" t="str">
        <f>""</f>
        <v/>
      </c>
      <c r="H373" s="1" t="str">
        <f>""</f>
        <v/>
      </c>
      <c r="I373" s="1" t="str">
        <f>""</f>
        <v/>
      </c>
      <c r="J373" s="1" t="str">
        <f>""</f>
        <v/>
      </c>
      <c r="K373" s="1" t="str">
        <f>""</f>
        <v/>
      </c>
      <c r="L373" s="1" t="str">
        <f t="shared" si="113"/>
        <v>R</v>
      </c>
      <c r="M373" s="1" t="str">
        <f>""</f>
        <v/>
      </c>
      <c r="N373" s="1" t="str">
        <f t="shared" si="122"/>
        <v>Y</v>
      </c>
      <c r="O373" s="1" t="str">
        <f t="shared" si="119"/>
        <v>Y</v>
      </c>
      <c r="P373" s="1" t="str">
        <f t="shared" si="118"/>
        <v>Y</v>
      </c>
      <c r="Q373" s="1" t="str">
        <f t="shared" si="121"/>
        <v>A</v>
      </c>
    </row>
    <row r="374" spans="1:17" x14ac:dyDescent="0.3">
      <c r="A374" s="1" t="str">
        <f t="shared" si="120"/>
        <v>B</v>
      </c>
      <c r="B374" s="1" t="str">
        <f>"L229101"</f>
        <v>L229101</v>
      </c>
      <c r="C374" s="1" t="str">
        <f>"호중구 증가"</f>
        <v>호중구 증가</v>
      </c>
      <c r="D374" s="1" t="str">
        <f>"*** 참 고 *** 몇가지 항목에서 기준치를 약간 벗어난 결과가 있습니다. 그러나 다른 항목의 검사결과를 종합하여 판단할 때 1회의 검사소견만으로 병리적 상태로 보기는 어렵습니다. 재검사 후 종합적인 판단이 필요합니다."</f>
        <v>*** 참 고 *** 몇가지 항목에서 기준치를 약간 벗어난 결과가 있습니다. 그러나 다른 항목의 검사결과를 종합하여 판단할 때 1회의 검사소견만으로 병리적 상태로 보기는 어렵습니다. 재검사 후 종합적인 판단이 필요합니다.</v>
      </c>
      <c r="E374" s="1" t="str">
        <f>""</f>
        <v/>
      </c>
      <c r="F374" s="1" t="str">
        <f>""</f>
        <v/>
      </c>
      <c r="G374" s="1" t="str">
        <f>""</f>
        <v/>
      </c>
      <c r="H374" s="1" t="str">
        <f>""</f>
        <v/>
      </c>
      <c r="I374" s="1" t="str">
        <f>""</f>
        <v/>
      </c>
      <c r="J374" s="1" t="str">
        <f>""</f>
        <v/>
      </c>
      <c r="K374" s="1" t="str">
        <f>""</f>
        <v/>
      </c>
      <c r="L374" s="1" t="str">
        <f t="shared" si="113"/>
        <v>R</v>
      </c>
      <c r="M374" s="1" t="str">
        <f>""</f>
        <v/>
      </c>
      <c r="N374" s="1" t="str">
        <f t="shared" si="122"/>
        <v>Y</v>
      </c>
      <c r="O374" s="1" t="str">
        <f t="shared" si="119"/>
        <v>Y</v>
      </c>
      <c r="P374" s="1" t="str">
        <f t="shared" si="118"/>
        <v>Y</v>
      </c>
      <c r="Q374" s="1" t="str">
        <f t="shared" si="121"/>
        <v>A</v>
      </c>
    </row>
    <row r="375" spans="1:17" x14ac:dyDescent="0.3">
      <c r="A375" s="1" t="str">
        <f t="shared" si="120"/>
        <v>B</v>
      </c>
      <c r="B375" s="1" t="str">
        <f>"L229102"</f>
        <v>L229102</v>
      </c>
      <c r="C375" s="1" t="str">
        <f>"호중구 감소"</f>
        <v>호중구 감소</v>
      </c>
      <c r="D375" s="1" t="str">
        <f>"*** 참 고 *** 몇가지 항목에서 기준치를 약간 벗어난 결과가 있습니다. 그러나 다른 항목의 검사결과를 종합하여 판단할 때 1회의 검사소견만으로 병리적 상태로 보기는 어렵습니다. 재검사 후 종합적인 판단이 필요합니다."</f>
        <v>*** 참 고 *** 몇가지 항목에서 기준치를 약간 벗어난 결과가 있습니다. 그러나 다른 항목의 검사결과를 종합하여 판단할 때 1회의 검사소견만으로 병리적 상태로 보기는 어렵습니다. 재검사 후 종합적인 판단이 필요합니다.</v>
      </c>
      <c r="E375" s="1" t="str">
        <f>""</f>
        <v/>
      </c>
      <c r="F375" s="1" t="str">
        <f>""</f>
        <v/>
      </c>
      <c r="G375" s="1" t="str">
        <f>""</f>
        <v/>
      </c>
      <c r="H375" s="1" t="str">
        <f>""</f>
        <v/>
      </c>
      <c r="I375" s="1" t="str">
        <f>""</f>
        <v/>
      </c>
      <c r="J375" s="1" t="str">
        <f>""</f>
        <v/>
      </c>
      <c r="K375" s="1" t="str">
        <f>""</f>
        <v/>
      </c>
      <c r="L375" s="1" t="str">
        <f t="shared" si="113"/>
        <v>R</v>
      </c>
      <c r="M375" s="1" t="str">
        <f>""</f>
        <v/>
      </c>
      <c r="N375" s="1" t="str">
        <f t="shared" si="122"/>
        <v>Y</v>
      </c>
      <c r="O375" s="1" t="str">
        <f t="shared" si="119"/>
        <v>Y</v>
      </c>
      <c r="P375" s="1" t="str">
        <f t="shared" si="118"/>
        <v>Y</v>
      </c>
      <c r="Q375" s="1" t="str">
        <f t="shared" si="121"/>
        <v>A</v>
      </c>
    </row>
    <row r="376" spans="1:17" x14ac:dyDescent="0.3">
      <c r="A376" s="1" t="str">
        <f t="shared" si="120"/>
        <v>B</v>
      </c>
      <c r="B376" s="1" t="str">
        <f>"L229103"</f>
        <v>L229103</v>
      </c>
      <c r="C376" s="1" t="str">
        <f>"단핵구 증가"</f>
        <v>단핵구 증가</v>
      </c>
      <c r="D376" s="1" t="str">
        <f>"*** 참 고 *** 몇가지 항목에서 기준치를 약간 벗어난 결과가 있습니다. 그러나 다른 항목의 검사결과를 종합하여 판단할 때 1회의 검사소견만으로 병리적 상태로 보기는 어렵습니다. 재검사 후 종합적인 판단이 필요합니다."</f>
        <v>*** 참 고 *** 몇가지 항목에서 기준치를 약간 벗어난 결과가 있습니다. 그러나 다른 항목의 검사결과를 종합하여 판단할 때 1회의 검사소견만으로 병리적 상태로 보기는 어렵습니다. 재검사 후 종합적인 판단이 필요합니다.</v>
      </c>
      <c r="E376" s="1" t="str">
        <f>""</f>
        <v/>
      </c>
      <c r="F376" s="1" t="str">
        <f>""</f>
        <v/>
      </c>
      <c r="G376" s="1" t="str">
        <f>""</f>
        <v/>
      </c>
      <c r="H376" s="1" t="str">
        <f>""</f>
        <v/>
      </c>
      <c r="I376" s="1" t="str">
        <f>""</f>
        <v/>
      </c>
      <c r="J376" s="1" t="str">
        <f>""</f>
        <v/>
      </c>
      <c r="K376" s="1" t="str">
        <f>""</f>
        <v/>
      </c>
      <c r="L376" s="1" t="str">
        <f t="shared" si="113"/>
        <v>R</v>
      </c>
      <c r="M376" s="1" t="str">
        <f>""</f>
        <v/>
      </c>
      <c r="N376" s="1" t="str">
        <f t="shared" si="122"/>
        <v>Y</v>
      </c>
      <c r="O376" s="1" t="str">
        <f t="shared" si="119"/>
        <v>Y</v>
      </c>
      <c r="P376" s="1" t="str">
        <f t="shared" si="118"/>
        <v>Y</v>
      </c>
      <c r="Q376" s="1" t="str">
        <f t="shared" si="121"/>
        <v>A</v>
      </c>
    </row>
    <row r="377" spans="1:17" x14ac:dyDescent="0.3">
      <c r="A377" s="1" t="str">
        <f t="shared" si="120"/>
        <v>B</v>
      </c>
      <c r="B377" s="1" t="str">
        <f>"L239101"</f>
        <v>L239101</v>
      </c>
      <c r="C377" s="1" t="str">
        <f>"림프구 증가"</f>
        <v>림프구 증가</v>
      </c>
      <c r="D377" s="1" t="str">
        <f>"*** 참 고 *** 몇가지 항목에서 기준치를 약간 벗어난 결과가 있습니다. 그러나 다른 항목의 검사결과를 종합하여 판단할 때 1회의 검사소견만으로 병리적 상태로 보기는 어렵습니다. 재검사 후 종합적인 판단이 필요합니다."</f>
        <v>*** 참 고 *** 몇가지 항목에서 기준치를 약간 벗어난 결과가 있습니다. 그러나 다른 항목의 검사결과를 종합하여 판단할 때 1회의 검사소견만으로 병리적 상태로 보기는 어렵습니다. 재검사 후 종합적인 판단이 필요합니다.</v>
      </c>
      <c r="E377" s="1" t="str">
        <f>""</f>
        <v/>
      </c>
      <c r="F377" s="1" t="str">
        <f>""</f>
        <v/>
      </c>
      <c r="G377" s="1" t="str">
        <f>""</f>
        <v/>
      </c>
      <c r="H377" s="1" t="str">
        <f>""</f>
        <v/>
      </c>
      <c r="I377" s="1" t="str">
        <f>""</f>
        <v/>
      </c>
      <c r="J377" s="1" t="str">
        <f>""</f>
        <v/>
      </c>
      <c r="K377" s="1" t="str">
        <f>""</f>
        <v/>
      </c>
      <c r="L377" s="1" t="str">
        <f t="shared" si="113"/>
        <v>R</v>
      </c>
      <c r="M377" s="1" t="str">
        <f>""</f>
        <v/>
      </c>
      <c r="N377" s="1" t="str">
        <f t="shared" si="122"/>
        <v>Y</v>
      </c>
      <c r="O377" s="1" t="str">
        <f t="shared" si="119"/>
        <v>Y</v>
      </c>
      <c r="P377" s="1" t="str">
        <f t="shared" si="118"/>
        <v>Y</v>
      </c>
      <c r="Q377" s="1" t="str">
        <f t="shared" si="121"/>
        <v>A</v>
      </c>
    </row>
    <row r="378" spans="1:17" x14ac:dyDescent="0.3">
      <c r="A378" s="1" t="str">
        <f t="shared" si="120"/>
        <v>B</v>
      </c>
      <c r="B378" s="1" t="str">
        <f>"L239102"</f>
        <v>L239102</v>
      </c>
      <c r="C378" s="1" t="str">
        <f>"림프구 감소"</f>
        <v>림프구 감소</v>
      </c>
      <c r="D378" s="1" t="str">
        <f>"*** 참 고 *** 몇가지 항목에서 기준치를 약간 벗어난 결과가 있습니다. 그러나 다른 항목의 검사결과를 종합하여 판단할 때 1회의 검사소견만으로 병리적 상태로 보기는 어렵습니다. 재검사 후 종합적인 판단이 필요합니다."</f>
        <v>*** 참 고 *** 몇가지 항목에서 기준치를 약간 벗어난 결과가 있습니다. 그러나 다른 항목의 검사결과를 종합하여 판단할 때 1회의 검사소견만으로 병리적 상태로 보기는 어렵습니다. 재검사 후 종합적인 판단이 필요합니다.</v>
      </c>
      <c r="E378" s="1" t="str">
        <f>""</f>
        <v/>
      </c>
      <c r="F378" s="1" t="str">
        <f>""</f>
        <v/>
      </c>
      <c r="G378" s="1" t="str">
        <f>""</f>
        <v/>
      </c>
      <c r="H378" s="1" t="str">
        <f>""</f>
        <v/>
      </c>
      <c r="I378" s="1" t="str">
        <f>""</f>
        <v/>
      </c>
      <c r="J378" s="1" t="str">
        <f>""</f>
        <v/>
      </c>
      <c r="K378" s="1" t="str">
        <f>""</f>
        <v/>
      </c>
      <c r="L378" s="1" t="str">
        <f t="shared" si="113"/>
        <v>R</v>
      </c>
      <c r="M378" s="1" t="str">
        <f>""</f>
        <v/>
      </c>
      <c r="N378" s="1" t="str">
        <f t="shared" si="122"/>
        <v>Y</v>
      </c>
      <c r="O378" s="1" t="str">
        <f t="shared" ref="O378:O412" si="123">"Y"</f>
        <v>Y</v>
      </c>
      <c r="P378" s="1" t="str">
        <f t="shared" si="118"/>
        <v>Y</v>
      </c>
      <c r="Q378" s="1" t="str">
        <f t="shared" si="121"/>
        <v>A</v>
      </c>
    </row>
    <row r="379" spans="1:17" x14ac:dyDescent="0.3">
      <c r="A379" s="1" t="str">
        <f t="shared" si="120"/>
        <v>B</v>
      </c>
      <c r="B379" s="1" t="str">
        <f>"L241101"</f>
        <v>L241101</v>
      </c>
      <c r="C379" s="1" t="str">
        <f>"고지혈증주의 (총콜레스테롤 상승)"</f>
        <v>고지혈증주의 (총콜레스테롤 상승)</v>
      </c>
      <c r="D379" s="1" t="s">
        <v>97</v>
      </c>
      <c r="E379" s="1" t="str">
        <f>""</f>
        <v/>
      </c>
      <c r="F379" s="1" t="str">
        <f>""</f>
        <v/>
      </c>
      <c r="G379" s="1" t="str">
        <f>""</f>
        <v/>
      </c>
      <c r="H379" s="1" t="str">
        <f>""</f>
        <v/>
      </c>
      <c r="I379" s="1" t="str">
        <f>""</f>
        <v/>
      </c>
      <c r="J379" s="1" t="str">
        <f>""</f>
        <v/>
      </c>
      <c r="K379" s="1" t="str">
        <f>""</f>
        <v/>
      </c>
      <c r="L379" s="1" t="str">
        <f t="shared" si="113"/>
        <v>R</v>
      </c>
      <c r="M379" s="1" t="str">
        <f>""</f>
        <v/>
      </c>
      <c r="N379" s="1" t="str">
        <f t="shared" si="122"/>
        <v>Y</v>
      </c>
      <c r="O379" s="1" t="str">
        <f t="shared" si="123"/>
        <v>Y</v>
      </c>
      <c r="P379" s="1" t="str">
        <f t="shared" si="118"/>
        <v>Y</v>
      </c>
      <c r="Q379" s="1" t="str">
        <f t="shared" si="121"/>
        <v>A</v>
      </c>
    </row>
    <row r="380" spans="1:17" x14ac:dyDescent="0.3">
      <c r="A380" s="1" t="str">
        <f t="shared" si="120"/>
        <v>B</v>
      </c>
      <c r="B380" s="1" t="str">
        <f>"L241101HA"</f>
        <v>L241101HA</v>
      </c>
      <c r="C380" s="1" t="str">
        <f>"경미한 콜레스테롤 증가"</f>
        <v>경미한 콜레스테롤 증가</v>
      </c>
      <c r="D380" s="1" t="str">
        <f>"혈중 콜레스테롤이 증가되어 있습니다. 동물성지방의 섭취를 줄이고 유산소운동을 하는 생활습관 개선이 필요합니다."</f>
        <v>혈중 콜레스테롤이 증가되어 있습니다. 동물성지방의 섭취를 줄이고 유산소운동을 하는 생활습관 개선이 필요합니다.</v>
      </c>
      <c r="E380" s="1" t="str">
        <f>""</f>
        <v/>
      </c>
      <c r="F380" s="1" t="str">
        <f>""</f>
        <v/>
      </c>
      <c r="G380" s="1" t="str">
        <f>""</f>
        <v/>
      </c>
      <c r="H380" s="1" t="str">
        <f>""</f>
        <v/>
      </c>
      <c r="I380" s="1" t="str">
        <f>""</f>
        <v/>
      </c>
      <c r="J380" s="1" t="str">
        <f>""</f>
        <v/>
      </c>
      <c r="K380" s="1" t="str">
        <f>""</f>
        <v/>
      </c>
      <c r="L380" s="1" t="str">
        <f t="shared" si="113"/>
        <v>R</v>
      </c>
      <c r="M380" s="1" t="str">
        <f>""</f>
        <v/>
      </c>
      <c r="N380" s="1" t="str">
        <f t="shared" si="122"/>
        <v>Y</v>
      </c>
      <c r="O380" s="1" t="str">
        <f t="shared" si="123"/>
        <v>Y</v>
      </c>
      <c r="P380" s="1" t="str">
        <f t="shared" si="118"/>
        <v>Y</v>
      </c>
      <c r="Q380" s="1" t="str">
        <f t="shared" si="121"/>
        <v>A</v>
      </c>
    </row>
    <row r="381" spans="1:17" x14ac:dyDescent="0.3">
      <c r="A381" s="1" t="str">
        <f t="shared" si="120"/>
        <v>B</v>
      </c>
      <c r="B381" s="1" t="str">
        <f>"L241103"</f>
        <v>L241103</v>
      </c>
      <c r="C381" s="1" t="str">
        <f>"총콜레스테롤 저하"</f>
        <v>총콜레스테롤 저하</v>
      </c>
      <c r="D381" s="1" t="s">
        <v>98</v>
      </c>
      <c r="E381" s="1" t="str">
        <f>""</f>
        <v/>
      </c>
      <c r="F381" s="1" t="str">
        <f>""</f>
        <v/>
      </c>
      <c r="G381" s="1" t="str">
        <f>""</f>
        <v/>
      </c>
      <c r="H381" s="1" t="str">
        <f>""</f>
        <v/>
      </c>
      <c r="I381" s="1" t="str">
        <f>""</f>
        <v/>
      </c>
      <c r="J381" s="1" t="str">
        <f>""</f>
        <v/>
      </c>
      <c r="K381" s="1" t="str">
        <f>""</f>
        <v/>
      </c>
      <c r="L381" s="1" t="str">
        <f t="shared" si="113"/>
        <v>R</v>
      </c>
      <c r="M381" s="1" t="str">
        <f>""</f>
        <v/>
      </c>
      <c r="N381" s="1" t="str">
        <f t="shared" si="122"/>
        <v>Y</v>
      </c>
      <c r="O381" s="1" t="str">
        <f t="shared" si="123"/>
        <v>Y</v>
      </c>
      <c r="P381" s="1" t="str">
        <f t="shared" si="118"/>
        <v>Y</v>
      </c>
      <c r="Q381" s="1" t="str">
        <f t="shared" si="121"/>
        <v>A</v>
      </c>
    </row>
    <row r="382" spans="1:17" x14ac:dyDescent="0.3">
      <c r="A382" s="1" t="str">
        <f t="shared" si="120"/>
        <v>B</v>
      </c>
      <c r="B382" s="1" t="str">
        <f>"L257001"</f>
        <v>L257001</v>
      </c>
      <c r="C382" s="1" t="str">
        <f>"간기능저하"</f>
        <v>간기능저하</v>
      </c>
      <c r="D382" s="1" t="s">
        <v>99</v>
      </c>
      <c r="E382" s="1" t="str">
        <f>""</f>
        <v/>
      </c>
      <c r="F382" s="1" t="str">
        <f>""</f>
        <v/>
      </c>
      <c r="G382" s="1" t="str">
        <f>""</f>
        <v/>
      </c>
      <c r="H382" s="1" t="str">
        <f>""</f>
        <v/>
      </c>
      <c r="I382" s="1" t="str">
        <f>""</f>
        <v/>
      </c>
      <c r="J382" s="1" t="str">
        <f>""</f>
        <v/>
      </c>
      <c r="K382" s="1" t="str">
        <f>""</f>
        <v/>
      </c>
      <c r="L382" s="1" t="str">
        <f t="shared" si="113"/>
        <v>R</v>
      </c>
      <c r="M382" s="1" t="str">
        <f>""</f>
        <v/>
      </c>
      <c r="N382" s="1" t="str">
        <f t="shared" si="122"/>
        <v>Y</v>
      </c>
      <c r="O382" s="1" t="str">
        <f t="shared" si="123"/>
        <v>Y</v>
      </c>
      <c r="P382" s="1" t="str">
        <f t="shared" si="118"/>
        <v>Y</v>
      </c>
      <c r="Q382" s="1" t="str">
        <f t="shared" si="121"/>
        <v>A</v>
      </c>
    </row>
    <row r="383" spans="1:17" x14ac:dyDescent="0.3">
      <c r="A383" s="1" t="str">
        <f t="shared" si="120"/>
        <v>B</v>
      </c>
      <c r="B383" s="1" t="str">
        <f>"L269101"</f>
        <v>L269101</v>
      </c>
      <c r="C383" s="1" t="str">
        <f>"호염기구 증가"</f>
        <v>호염기구 증가</v>
      </c>
      <c r="D383" s="1" t="str">
        <f>"""*** 참 고 *** 몇가지 항목에서 기준치를 약간 벗어난 결과가 있습니다. 그러나 다른 항목의 검사결과를 종합하여 판단할 때 1회의 검사소견만으로 병리적 상태로 보기는 어렵습니다. 재검사 후 종합적인 판단이 필요합니다."""</f>
        <v>"*** 참 고 *** 몇가지 항목에서 기준치를 약간 벗어난 결과가 있습니다. 그러나 다른 항목의 검사결과를 종합하여 판단할 때 1회의 검사소견만으로 병리적 상태로 보기는 어렵습니다. 재검사 후 종합적인 판단이 필요합니다."</v>
      </c>
      <c r="E383" s="1" t="str">
        <f>""</f>
        <v/>
      </c>
      <c r="F383" s="1" t="str">
        <f>""</f>
        <v/>
      </c>
      <c r="G383" s="1" t="str">
        <f>""</f>
        <v/>
      </c>
      <c r="H383" s="1" t="str">
        <f>""</f>
        <v/>
      </c>
      <c r="I383" s="1" t="str">
        <f>""</f>
        <v/>
      </c>
      <c r="J383" s="1" t="str">
        <f>""</f>
        <v/>
      </c>
      <c r="K383" s="1" t="str">
        <f>""</f>
        <v/>
      </c>
      <c r="L383" s="1" t="str">
        <f t="shared" si="113"/>
        <v>R</v>
      </c>
      <c r="M383" s="1" t="str">
        <f>""</f>
        <v/>
      </c>
      <c r="N383" s="1" t="str">
        <f t="shared" si="122"/>
        <v>Y</v>
      </c>
      <c r="O383" s="1" t="str">
        <f t="shared" si="123"/>
        <v>Y</v>
      </c>
      <c r="P383" s="1" t="str">
        <f t="shared" si="118"/>
        <v>Y</v>
      </c>
      <c r="Q383" s="1" t="str">
        <f t="shared" si="121"/>
        <v>A</v>
      </c>
    </row>
    <row r="384" spans="1:17" x14ac:dyDescent="0.3">
      <c r="A384" s="1" t="str">
        <f t="shared" si="120"/>
        <v>B</v>
      </c>
      <c r="B384" s="1" t="str">
        <f>"L371101"</f>
        <v>L371101</v>
      </c>
      <c r="C384" s="1" t="str">
        <f>"공복혈당장애"</f>
        <v>공복혈당장애</v>
      </c>
      <c r="D384" s="1" t="s">
        <v>52</v>
      </c>
      <c r="E384" s="1" t="str">
        <f>""</f>
        <v/>
      </c>
      <c r="F384" s="1" t="str">
        <f>""</f>
        <v/>
      </c>
      <c r="G384" s="1" t="str">
        <f>""</f>
        <v/>
      </c>
      <c r="H384" s="1" t="str">
        <f>""</f>
        <v/>
      </c>
      <c r="I384" s="1" t="str">
        <f>""</f>
        <v/>
      </c>
      <c r="J384" s="1" t="str">
        <f>""</f>
        <v/>
      </c>
      <c r="K384" s="1" t="str">
        <f>""</f>
        <v/>
      </c>
      <c r="L384" s="1" t="str">
        <f t="shared" si="113"/>
        <v>R</v>
      </c>
      <c r="M384" s="1" t="str">
        <f>""</f>
        <v/>
      </c>
      <c r="N384" s="1" t="str">
        <f t="shared" si="122"/>
        <v>Y</v>
      </c>
      <c r="O384" s="1" t="str">
        <f t="shared" si="123"/>
        <v>Y</v>
      </c>
      <c r="P384" s="1" t="str">
        <f t="shared" si="118"/>
        <v>Y</v>
      </c>
      <c r="Q384" s="1" t="str">
        <f t="shared" si="121"/>
        <v>A</v>
      </c>
    </row>
    <row r="385" spans="1:17" x14ac:dyDescent="0.3">
      <c r="A385" s="1" t="str">
        <f t="shared" si="120"/>
        <v>B</v>
      </c>
      <c r="B385" s="1" t="str">
        <f>"L371101H"</f>
        <v>L371101H</v>
      </c>
      <c r="C385" s="1" t="str">
        <f>"공복혈당장애"</f>
        <v>공복혈당장애</v>
      </c>
      <c r="D385" s="1" t="str">
        <f>"혈액 검사 결과 공복시 혈당수치가 정상과 당뇨 사이에 있습니다. 이는 일시적일수도 있지만 당뇨로 진행될수도 있으므로 식습관을 조절하여 혈당관리를 하시기 바랍니다."</f>
        <v>혈액 검사 결과 공복시 혈당수치가 정상과 당뇨 사이에 있습니다. 이는 일시적일수도 있지만 당뇨로 진행될수도 있으므로 식습관을 조절하여 혈당관리를 하시기 바랍니다.</v>
      </c>
      <c r="E385" s="1" t="str">
        <f>""</f>
        <v/>
      </c>
      <c r="F385" s="1" t="str">
        <f>""</f>
        <v/>
      </c>
      <c r="G385" s="1" t="str">
        <f>""</f>
        <v/>
      </c>
      <c r="H385" s="1" t="str">
        <f>""</f>
        <v/>
      </c>
      <c r="I385" s="1" t="str">
        <f>""</f>
        <v/>
      </c>
      <c r="J385" s="1" t="str">
        <f>""</f>
        <v/>
      </c>
      <c r="K385" s="1" t="str">
        <f>""</f>
        <v/>
      </c>
      <c r="L385" s="1" t="str">
        <f t="shared" si="113"/>
        <v>R</v>
      </c>
      <c r="M385" s="1" t="str">
        <f>""</f>
        <v/>
      </c>
      <c r="N385" s="1" t="str">
        <f t="shared" si="122"/>
        <v>Y</v>
      </c>
      <c r="O385" s="1" t="str">
        <f t="shared" si="123"/>
        <v>Y</v>
      </c>
      <c r="P385" s="1" t="str">
        <f t="shared" si="118"/>
        <v>Y</v>
      </c>
      <c r="Q385" s="1" t="str">
        <f t="shared" si="121"/>
        <v>A</v>
      </c>
    </row>
    <row r="386" spans="1:17" x14ac:dyDescent="0.3">
      <c r="A386" s="1" t="str">
        <f t="shared" si="120"/>
        <v>B</v>
      </c>
      <c r="B386" s="1" t="str">
        <f>"L371103"</f>
        <v>L371103</v>
      </c>
      <c r="C386" s="1" t="str">
        <f>"혈당 저하"</f>
        <v>혈당 저하</v>
      </c>
      <c r="D386" s="1" t="s">
        <v>100</v>
      </c>
      <c r="E386" s="1" t="str">
        <f>""</f>
        <v/>
      </c>
      <c r="F386" s="1" t="str">
        <f>""</f>
        <v/>
      </c>
      <c r="G386" s="1" t="str">
        <f>""</f>
        <v/>
      </c>
      <c r="H386" s="1" t="str">
        <f>""</f>
        <v/>
      </c>
      <c r="I386" s="1" t="str">
        <f>""</f>
        <v/>
      </c>
      <c r="J386" s="1" t="str">
        <f>""</f>
        <v/>
      </c>
      <c r="K386" s="1" t="str">
        <f>""</f>
        <v/>
      </c>
      <c r="L386" s="1" t="str">
        <f t="shared" ref="L386:L398" si="124">"R"</f>
        <v>R</v>
      </c>
      <c r="M386" s="1" t="str">
        <f>""</f>
        <v/>
      </c>
      <c r="N386" s="1" t="str">
        <f t="shared" si="122"/>
        <v>Y</v>
      </c>
      <c r="O386" s="1" t="str">
        <f t="shared" si="123"/>
        <v>Y</v>
      </c>
      <c r="P386" s="1" t="str">
        <f t="shared" si="118"/>
        <v>Y</v>
      </c>
      <c r="Q386" s="1" t="str">
        <f t="shared" si="121"/>
        <v>A</v>
      </c>
    </row>
    <row r="387" spans="1:17" x14ac:dyDescent="0.3">
      <c r="A387" s="1" t="str">
        <f t="shared" si="120"/>
        <v>B</v>
      </c>
      <c r="B387" s="1" t="str">
        <f>"LEGFX2"</f>
        <v>LEGFX2</v>
      </c>
      <c r="C387" s="1" t="str">
        <f>"하지기능 이상"</f>
        <v>하지기능 이상</v>
      </c>
      <c r="D387" s="1" t="str">
        <f>"하지기능이 약간 저하되어 있습니다. 넘어져 다칠 위험이 있으므로 보행시 주의하세요. 낙상 예방을 위해 규칙적인 하지 근력 운동이 필요합니다."</f>
        <v>하지기능이 약간 저하되어 있습니다. 넘어져 다칠 위험이 있으므로 보행시 주의하세요. 낙상 예방을 위해 규칙적인 하지 근력 운동이 필요합니다.</v>
      </c>
      <c r="E387" s="1" t="str">
        <f t="shared" ref="E387:E392" si="125">"WOK01"</f>
        <v>WOK01</v>
      </c>
      <c r="F387" s="1" t="str">
        <f>"PTM01"</f>
        <v>PTM01</v>
      </c>
      <c r="G387" s="1" t="str">
        <f>"DISM"</f>
        <v>DISM</v>
      </c>
      <c r="H387" s="1" t="str">
        <f>"REL22"</f>
        <v>REL22</v>
      </c>
      <c r="I387" s="1" t="str">
        <f>""</f>
        <v/>
      </c>
      <c r="J387" s="1" t="str">
        <f>"N01A"</f>
        <v>N01A</v>
      </c>
      <c r="K387" s="1" t="str">
        <f>"N01C"</f>
        <v>N01C</v>
      </c>
      <c r="L387" s="1" t="str">
        <f t="shared" si="124"/>
        <v>R</v>
      </c>
      <c r="M387" s="1" t="str">
        <f>"T19"</f>
        <v>T19</v>
      </c>
      <c r="N387" s="1" t="str">
        <f t="shared" si="122"/>
        <v>Y</v>
      </c>
      <c r="O387" s="1" t="str">
        <f t="shared" si="123"/>
        <v>Y</v>
      </c>
      <c r="P387" s="1" t="str">
        <f t="shared" si="118"/>
        <v>Y</v>
      </c>
      <c r="Q387" s="1" t="str">
        <f t="shared" si="121"/>
        <v>A</v>
      </c>
    </row>
    <row r="388" spans="1:17" x14ac:dyDescent="0.3">
      <c r="A388" s="1" t="str">
        <f t="shared" si="120"/>
        <v>B</v>
      </c>
      <c r="B388" s="1" t="str">
        <f>"LEGFX3"</f>
        <v>LEGFX3</v>
      </c>
      <c r="C388" s="1" t="str">
        <f>"하지기능 저하 (낙상위험주의)"</f>
        <v>하지기능 저하 (낙상위험주의)</v>
      </c>
      <c r="D388" s="1" t="str">
        <f>"낙상은 큰 부상의 원인이 됩니다. 일상생활 중 넘어져 다치지 않도록 주의하세요."</f>
        <v>낙상은 큰 부상의 원인이 됩니다. 일상생활 중 넘어져 다치지 않도록 주의하세요.</v>
      </c>
      <c r="E388" s="1" t="str">
        <f t="shared" si="125"/>
        <v>WOK01</v>
      </c>
      <c r="F388" s="1" t="str">
        <f>"PTM01"</f>
        <v>PTM01</v>
      </c>
      <c r="G388" s="1" t="str">
        <f>"DISM"</f>
        <v>DISM</v>
      </c>
      <c r="H388" s="1" t="str">
        <f>"REL22"</f>
        <v>REL22</v>
      </c>
      <c r="I388" s="1" t="str">
        <f>""</f>
        <v/>
      </c>
      <c r="J388" s="1" t="str">
        <f>"C43C"</f>
        <v>C43C</v>
      </c>
      <c r="K388" s="1" t="str">
        <f>"C01D"</f>
        <v>C01D</v>
      </c>
      <c r="L388" s="1" t="str">
        <f t="shared" si="124"/>
        <v>R</v>
      </c>
      <c r="M388" s="1" t="str">
        <f>"T19"</f>
        <v>T19</v>
      </c>
      <c r="N388" s="1" t="str">
        <f t="shared" si="122"/>
        <v>Y</v>
      </c>
      <c r="O388" s="1" t="str">
        <f t="shared" si="123"/>
        <v>Y</v>
      </c>
      <c r="P388" s="1" t="str">
        <f t="shared" si="118"/>
        <v>Y</v>
      </c>
      <c r="Q388" s="1" t="str">
        <f t="shared" si="121"/>
        <v>A</v>
      </c>
    </row>
    <row r="389" spans="1:17" x14ac:dyDescent="0.3">
      <c r="A389" s="1" t="str">
        <f t="shared" si="120"/>
        <v>B</v>
      </c>
      <c r="B389" s="1" t="str">
        <f>"LIP201"</f>
        <v>LIP201</v>
      </c>
      <c r="C389" s="1" t="str">
        <f>"경미한 고지혈증"</f>
        <v>경미한 고지혈증</v>
      </c>
      <c r="D389" s="1" t="str">
        <f>"콜레스테롤이 약간 증가했습니다. 식이요법과 운동으로 혈중 콜레스테롤이 높아지지 않도록 조심하세요."</f>
        <v>콜레스테롤이 약간 증가했습니다. 식이요법과 운동으로 혈중 콜레스테롤이 높아지지 않도록 조심하세요.</v>
      </c>
      <c r="E389" s="1" t="str">
        <f t="shared" si="125"/>
        <v>WOK01</v>
      </c>
      <c r="F389" s="1" t="str">
        <f>"PTM00"</f>
        <v>PTM00</v>
      </c>
      <c r="G389" s="1" t="str">
        <f>"DISE"</f>
        <v>DISE</v>
      </c>
      <c r="H389" s="1" t="str">
        <f>"REL04"</f>
        <v>REL04</v>
      </c>
      <c r="I389" s="1" t="str">
        <f>""</f>
        <v/>
      </c>
      <c r="J389" s="1" t="str">
        <f t="shared" ref="J389:K394" si="126">"C04A"</f>
        <v>C04A</v>
      </c>
      <c r="K389" s="1" t="str">
        <f t="shared" si="126"/>
        <v>C04A</v>
      </c>
      <c r="L389" s="1" t="str">
        <f t="shared" si="124"/>
        <v>R</v>
      </c>
      <c r="M389" s="1" t="str">
        <f>"T03"</f>
        <v>T03</v>
      </c>
      <c r="N389" s="1" t="str">
        <f t="shared" si="122"/>
        <v>Y</v>
      </c>
      <c r="O389" s="1" t="str">
        <f t="shared" si="123"/>
        <v>Y</v>
      </c>
      <c r="P389" s="1" t="str">
        <f t="shared" si="118"/>
        <v>Y</v>
      </c>
      <c r="Q389" s="1" t="str">
        <f t="shared" si="121"/>
        <v>A</v>
      </c>
    </row>
    <row r="390" spans="1:17" x14ac:dyDescent="0.3">
      <c r="A390" s="1" t="str">
        <f t="shared" si="120"/>
        <v>B</v>
      </c>
      <c r="B390" s="1" t="str">
        <f>"LIP202"</f>
        <v>LIP202</v>
      </c>
      <c r="C390" s="1" t="str">
        <f>"경미한 콜레스테롤 이상"</f>
        <v>경미한 콜레스테롤 이상</v>
      </c>
      <c r="D390" s="1" t="str">
        <f>"HDL콜레스테롤이 일정수준 이하로 낮으면 관상동맥질환의 발병 원인이 됩니다. 규칙적인 운동이 필요합니다."</f>
        <v>HDL콜레스테롤이 일정수준 이하로 낮으면 관상동맥질환의 발병 원인이 됩니다. 규칙적인 운동이 필요합니다.</v>
      </c>
      <c r="E390" s="1" t="str">
        <f t="shared" si="125"/>
        <v>WOK01</v>
      </c>
      <c r="F390" s="1" t="str">
        <f>"PTM00"</f>
        <v>PTM00</v>
      </c>
      <c r="G390" s="1" t="str">
        <f>"DISE"</f>
        <v>DISE</v>
      </c>
      <c r="H390" s="1" t="str">
        <f>"REL04"</f>
        <v>REL04</v>
      </c>
      <c r="I390" s="1" t="str">
        <f>""</f>
        <v/>
      </c>
      <c r="J390" s="1" t="str">
        <f t="shared" si="126"/>
        <v>C04A</v>
      </c>
      <c r="K390" s="1" t="str">
        <f t="shared" si="126"/>
        <v>C04A</v>
      </c>
      <c r="L390" s="1" t="str">
        <f t="shared" si="124"/>
        <v>R</v>
      </c>
      <c r="M390" s="1" t="str">
        <f>"T03"</f>
        <v>T03</v>
      </c>
      <c r="N390" s="1" t="str">
        <f t="shared" si="122"/>
        <v>Y</v>
      </c>
      <c r="O390" s="1" t="str">
        <f t="shared" si="123"/>
        <v>Y</v>
      </c>
      <c r="P390" s="1" t="str">
        <f t="shared" si="118"/>
        <v>Y</v>
      </c>
      <c r="Q390" s="1" t="str">
        <f t="shared" si="121"/>
        <v>A</v>
      </c>
    </row>
    <row r="391" spans="1:17" x14ac:dyDescent="0.3">
      <c r="A391" s="1" t="str">
        <f t="shared" ref="A391:A416" si="127">"B"</f>
        <v>B</v>
      </c>
      <c r="B391" s="1" t="str">
        <f>"LIP203"</f>
        <v>LIP203</v>
      </c>
      <c r="C391" s="1" t="str">
        <f>"경미한 이상지질혈증"</f>
        <v>경미한 이상지질혈증</v>
      </c>
      <c r="D391" s="1" t="s">
        <v>101</v>
      </c>
      <c r="E391" s="1" t="str">
        <f t="shared" si="125"/>
        <v>WOK01</v>
      </c>
      <c r="F391" s="1" t="str">
        <f>"PTM00"</f>
        <v>PTM00</v>
      </c>
      <c r="G391" s="1" t="str">
        <f>"DISE"</f>
        <v>DISE</v>
      </c>
      <c r="H391" s="1" t="str">
        <f>"REL04"</f>
        <v>REL04</v>
      </c>
      <c r="I391" s="1" t="str">
        <f>""</f>
        <v/>
      </c>
      <c r="J391" s="1" t="str">
        <f t="shared" si="126"/>
        <v>C04A</v>
      </c>
      <c r="K391" s="1" t="str">
        <f t="shared" si="126"/>
        <v>C04A</v>
      </c>
      <c r="L391" s="1" t="str">
        <f t="shared" si="124"/>
        <v>R</v>
      </c>
      <c r="M391" s="1" t="str">
        <f>"T03"</f>
        <v>T03</v>
      </c>
      <c r="N391" s="1" t="str">
        <f t="shared" si="122"/>
        <v>Y</v>
      </c>
      <c r="O391" s="1" t="str">
        <f t="shared" si="123"/>
        <v>Y</v>
      </c>
      <c r="P391" s="1" t="str">
        <f t="shared" si="118"/>
        <v>Y</v>
      </c>
      <c r="Q391" s="1" t="str">
        <f t="shared" si="121"/>
        <v>A</v>
      </c>
    </row>
    <row r="392" spans="1:17" x14ac:dyDescent="0.3">
      <c r="A392" s="1" t="str">
        <f t="shared" si="127"/>
        <v>B</v>
      </c>
      <c r="B392" s="1" t="str">
        <f>"LIP204"</f>
        <v>LIP204</v>
      </c>
      <c r="C392" s="1" t="str">
        <f>"경미한 고지혈증"</f>
        <v>경미한 고지혈증</v>
      </c>
      <c r="D392" s="1" t="str">
        <f>"혈액검사상 동맥경화의 주요 원인인 저밀도 콜레스테롤 수치가 경미하게 상승되어 있습니다. 저지방 식이 및 운동하시며 관리하시기 바랍니다."</f>
        <v>혈액검사상 동맥경화의 주요 원인인 저밀도 콜레스테롤 수치가 경미하게 상승되어 있습니다. 저지방 식이 및 운동하시며 관리하시기 바랍니다.</v>
      </c>
      <c r="E392" s="1" t="str">
        <f t="shared" si="125"/>
        <v>WOK01</v>
      </c>
      <c r="F392" s="1" t="str">
        <f>"PTM01"</f>
        <v>PTM01</v>
      </c>
      <c r="G392" s="1" t="str">
        <f>"DISE"</f>
        <v>DISE</v>
      </c>
      <c r="H392" s="1" t="str">
        <f>"REL04"</f>
        <v>REL04</v>
      </c>
      <c r="I392" s="1" t="str">
        <f>""</f>
        <v/>
      </c>
      <c r="J392" s="1" t="str">
        <f t="shared" si="126"/>
        <v>C04A</v>
      </c>
      <c r="K392" s="1" t="str">
        <f t="shared" si="126"/>
        <v>C04A</v>
      </c>
      <c r="L392" s="1" t="str">
        <f t="shared" si="124"/>
        <v>R</v>
      </c>
      <c r="M392" s="1" t="str">
        <f>"T03"</f>
        <v>T03</v>
      </c>
      <c r="N392" s="1" t="str">
        <f t="shared" si="122"/>
        <v>Y</v>
      </c>
      <c r="O392" s="1" t="str">
        <f t="shared" si="123"/>
        <v>Y</v>
      </c>
      <c r="P392" s="1" t="str">
        <f t="shared" si="118"/>
        <v>Y</v>
      </c>
      <c r="Q392" s="1" t="str">
        <f t="shared" si="121"/>
        <v>A</v>
      </c>
    </row>
    <row r="393" spans="1:17" x14ac:dyDescent="0.3">
      <c r="A393" s="1" t="str">
        <f t="shared" si="127"/>
        <v>B</v>
      </c>
      <c r="B393" s="1" t="str">
        <f>"LIPLT0"</f>
        <v>LIPLT0</v>
      </c>
      <c r="C393" s="1" t="str">
        <f>"콜레스테롤 이상 (HDL-콜레스테롤 저하)"</f>
        <v>콜레스테롤 이상 (HDL-콜레스테롤 저하)</v>
      </c>
      <c r="D393" s="1" t="s">
        <v>102</v>
      </c>
      <c r="E393" s="1" t="str">
        <f>""</f>
        <v/>
      </c>
      <c r="F393" s="1" t="str">
        <f>""</f>
        <v/>
      </c>
      <c r="G393" s="1" t="str">
        <f>""</f>
        <v/>
      </c>
      <c r="H393" s="1" t="str">
        <f>""</f>
        <v/>
      </c>
      <c r="I393" s="1" t="str">
        <f>""</f>
        <v/>
      </c>
      <c r="J393" s="1" t="str">
        <f t="shared" si="126"/>
        <v>C04A</v>
      </c>
      <c r="K393" s="1" t="str">
        <f t="shared" si="126"/>
        <v>C04A</v>
      </c>
      <c r="L393" s="1" t="str">
        <f t="shared" si="124"/>
        <v>R</v>
      </c>
      <c r="M393" s="1" t="str">
        <f>""</f>
        <v/>
      </c>
      <c r="N393" s="1" t="str">
        <f t="shared" si="122"/>
        <v>Y</v>
      </c>
      <c r="O393" s="1" t="str">
        <f t="shared" si="123"/>
        <v>Y</v>
      </c>
      <c r="P393" s="1" t="str">
        <f t="shared" si="118"/>
        <v>Y</v>
      </c>
      <c r="Q393" s="1" t="str">
        <f t="shared" si="121"/>
        <v>A</v>
      </c>
    </row>
    <row r="394" spans="1:17" x14ac:dyDescent="0.3">
      <c r="A394" s="1" t="str">
        <f t="shared" si="127"/>
        <v>B</v>
      </c>
      <c r="B394" s="1" t="str">
        <f>"LIPLTF"</f>
        <v>LIPLTF</v>
      </c>
      <c r="C394" s="1" t="str">
        <f>"경미한 고콜레스테롤혈증"</f>
        <v>경미한 고콜레스테롤혈증</v>
      </c>
      <c r="D394" s="1" t="str">
        <f>"정상범위에서 크게 벗어나지 않지만 규칙적인 운동 및 저지방식이 하세요."</f>
        <v>정상범위에서 크게 벗어나지 않지만 규칙적인 운동 및 저지방식이 하세요.</v>
      </c>
      <c r="E394" s="1" t="str">
        <f>"WOK01"</f>
        <v>WOK01</v>
      </c>
      <c r="F394" s="1" t="str">
        <f>"PTM00"</f>
        <v>PTM00</v>
      </c>
      <c r="G394" s="1" t="str">
        <f>"DISE"</f>
        <v>DISE</v>
      </c>
      <c r="H394" s="1" t="str">
        <f>"REL04"</f>
        <v>REL04</v>
      </c>
      <c r="I394" s="1" t="str">
        <f>""</f>
        <v/>
      </c>
      <c r="J394" s="1" t="str">
        <f t="shared" si="126"/>
        <v>C04A</v>
      </c>
      <c r="K394" s="1" t="str">
        <f t="shared" si="126"/>
        <v>C04A</v>
      </c>
      <c r="L394" s="1" t="str">
        <f t="shared" si="124"/>
        <v>R</v>
      </c>
      <c r="M394" s="1" t="str">
        <f>"T03"</f>
        <v>T03</v>
      </c>
      <c r="N394" s="1" t="str">
        <f t="shared" si="122"/>
        <v>Y</v>
      </c>
      <c r="O394" s="1" t="str">
        <f t="shared" si="123"/>
        <v>Y</v>
      </c>
      <c r="P394" s="1" t="str">
        <f t="shared" ref="P394:P457" si="128">"Y"</f>
        <v>Y</v>
      </c>
      <c r="Q394" s="1" t="str">
        <f t="shared" si="121"/>
        <v>A</v>
      </c>
    </row>
    <row r="395" spans="1:17" x14ac:dyDescent="0.3">
      <c r="A395" s="1" t="str">
        <f t="shared" si="127"/>
        <v>B</v>
      </c>
      <c r="B395" s="1" t="str">
        <f>"LTS301"</f>
        <v>LTS301</v>
      </c>
      <c r="C395" s="1" t="str">
        <f>"하지기능저하 (낙상위험주의)"</f>
        <v>하지기능저하 (낙상위험주의)</v>
      </c>
      <c r="D395" s="1" t="str">
        <f>"하지 근력이 저하되어 있으며 넘어져 다칠 위험이 있으므로 보행시 주의하세요. 낙상 예방을 위해 규칙적인 운동이 필요합니다."</f>
        <v>하지 근력이 저하되어 있으며 넘어져 다칠 위험이 있으므로 보행시 주의하세요. 낙상 예방을 위해 규칙적인 운동이 필요합니다.</v>
      </c>
      <c r="E395" s="1" t="str">
        <f>""</f>
        <v/>
      </c>
      <c r="F395" s="1" t="str">
        <f>""</f>
        <v/>
      </c>
      <c r="G395" s="1" t="str">
        <f>"DISM"</f>
        <v>DISM</v>
      </c>
      <c r="H395" s="1" t="str">
        <f>""</f>
        <v/>
      </c>
      <c r="I395" s="1" t="str">
        <f>""</f>
        <v/>
      </c>
      <c r="J395" s="1" t="str">
        <f>""</f>
        <v/>
      </c>
      <c r="K395" s="1" t="str">
        <f>""</f>
        <v/>
      </c>
      <c r="L395" s="1" t="str">
        <f t="shared" si="124"/>
        <v>R</v>
      </c>
      <c r="M395" s="1" t="str">
        <f>""</f>
        <v/>
      </c>
      <c r="N395" s="1" t="str">
        <f t="shared" si="122"/>
        <v>Y</v>
      </c>
      <c r="O395" s="1" t="str">
        <f t="shared" si="123"/>
        <v>Y</v>
      </c>
      <c r="P395" s="1" t="str">
        <f t="shared" si="128"/>
        <v>Y</v>
      </c>
      <c r="Q395" s="1" t="str">
        <f t="shared" si="121"/>
        <v>A</v>
      </c>
    </row>
    <row r="396" spans="1:17" x14ac:dyDescent="0.3">
      <c r="A396" s="1" t="str">
        <f t="shared" si="127"/>
        <v>B</v>
      </c>
      <c r="B396" s="1" t="str">
        <f>"LTS302"</f>
        <v>LTS302</v>
      </c>
      <c r="C396" s="1" t="str">
        <f>"평형성 검사주의"</f>
        <v>평형성 검사주의</v>
      </c>
      <c r="D396" s="1" t="str">
        <f>"정상보다 평형기능이 떨어져 있습니다.어지럼증과 관계될 수 있습니다."</f>
        <v>정상보다 평형기능이 떨어져 있습니다.어지럼증과 관계될 수 있습니다.</v>
      </c>
      <c r="E396" s="1" t="str">
        <f>"WOK01"</f>
        <v>WOK01</v>
      </c>
      <c r="F396" s="1" t="str">
        <f>""</f>
        <v/>
      </c>
      <c r="G396" s="1" t="str">
        <f>"DISM"</f>
        <v>DISM</v>
      </c>
      <c r="H396" s="1" t="str">
        <f>"REL29"</f>
        <v>REL29</v>
      </c>
      <c r="I396" s="1" t="str">
        <f>""</f>
        <v/>
      </c>
      <c r="J396" s="1" t="str">
        <f>"C43A"</f>
        <v>C43A</v>
      </c>
      <c r="K396" s="1" t="str">
        <f>"C43A"</f>
        <v>C43A</v>
      </c>
      <c r="L396" s="1" t="str">
        <f t="shared" si="124"/>
        <v>R</v>
      </c>
      <c r="M396" s="1" t="str">
        <f>""</f>
        <v/>
      </c>
      <c r="N396" s="1" t="str">
        <f t="shared" si="122"/>
        <v>Y</v>
      </c>
      <c r="O396" s="1" t="str">
        <f t="shared" si="123"/>
        <v>Y</v>
      </c>
      <c r="P396" s="1" t="str">
        <f t="shared" si="128"/>
        <v>Y</v>
      </c>
      <c r="Q396" s="1" t="str">
        <f t="shared" si="121"/>
        <v>A</v>
      </c>
    </row>
    <row r="397" spans="1:17" x14ac:dyDescent="0.3">
      <c r="A397" s="1" t="str">
        <f t="shared" si="127"/>
        <v>B</v>
      </c>
      <c r="B397" s="1" t="str">
        <f>"LTS402"</f>
        <v>LTS402</v>
      </c>
      <c r="C397" s="1" t="str">
        <f>"평형성 검사 이상"</f>
        <v>평형성 검사 이상</v>
      </c>
      <c r="D397" s="1" t="str">
        <f>"넘어져서 다치지 않도록 주의하세요."</f>
        <v>넘어져서 다치지 않도록 주의하세요.</v>
      </c>
      <c r="E397" s="1" t="str">
        <f>"WOK01"</f>
        <v>WOK01</v>
      </c>
      <c r="F397" s="1" t="str">
        <f>"PTM01"</f>
        <v>PTM01</v>
      </c>
      <c r="G397" s="1" t="str">
        <f>"DISM"</f>
        <v>DISM</v>
      </c>
      <c r="H397" s="1" t="str">
        <f>"REL29"</f>
        <v>REL29</v>
      </c>
      <c r="I397" s="1" t="str">
        <f>""</f>
        <v/>
      </c>
      <c r="J397" s="1" t="str">
        <f>"C54R"</f>
        <v>C54R</v>
      </c>
      <c r="K397" s="1" t="str">
        <f>"C54R"</f>
        <v>C54R</v>
      </c>
      <c r="L397" s="1" t="str">
        <f t="shared" si="124"/>
        <v>R</v>
      </c>
      <c r="M397" s="1" t="str">
        <f>"T06"</f>
        <v>T06</v>
      </c>
      <c r="N397" s="1" t="str">
        <f t="shared" si="122"/>
        <v>Y</v>
      </c>
      <c r="O397" s="1" t="str">
        <f t="shared" si="123"/>
        <v>Y</v>
      </c>
      <c r="P397" s="1" t="str">
        <f t="shared" si="128"/>
        <v>Y</v>
      </c>
      <c r="Q397" s="1" t="str">
        <f t="shared" si="121"/>
        <v>A</v>
      </c>
    </row>
    <row r="398" spans="1:17" x14ac:dyDescent="0.3">
      <c r="A398" s="1" t="str">
        <f t="shared" si="127"/>
        <v>B</v>
      </c>
      <c r="B398" s="1" t="str">
        <f>"LTS621"</f>
        <v>LTS621</v>
      </c>
      <c r="C398" s="1" t="str">
        <f>"우울증 검사상 정상범위"</f>
        <v>우울증 검사상 정상범위</v>
      </c>
      <c r="D398" s="1" t="str">
        <f>""</f>
        <v/>
      </c>
      <c r="E398" s="1" t="str">
        <f>""</f>
        <v/>
      </c>
      <c r="F398" s="1" t="str">
        <f>""</f>
        <v/>
      </c>
      <c r="G398" s="1" t="str">
        <f>"DISF"</f>
        <v>DISF</v>
      </c>
      <c r="H398" s="1" t="str">
        <f>"REL21"</f>
        <v>REL21</v>
      </c>
      <c r="I398" s="1" t="str">
        <f>""</f>
        <v/>
      </c>
      <c r="J398" s="1" t="str">
        <f>""</f>
        <v/>
      </c>
      <c r="K398" s="1" t="str">
        <f>""</f>
        <v/>
      </c>
      <c r="L398" s="1" t="str">
        <f t="shared" si="124"/>
        <v>R</v>
      </c>
      <c r="M398" s="1" t="str">
        <f>""</f>
        <v/>
      </c>
      <c r="N398" s="1" t="str">
        <f>"N"</f>
        <v>N</v>
      </c>
      <c r="O398" s="1" t="str">
        <f t="shared" si="123"/>
        <v>Y</v>
      </c>
      <c r="P398" s="1" t="str">
        <f t="shared" si="128"/>
        <v>Y</v>
      </c>
      <c r="Q398" s="1" t="str">
        <f t="shared" si="121"/>
        <v>A</v>
      </c>
    </row>
    <row r="399" spans="1:17" x14ac:dyDescent="0.3">
      <c r="A399" s="1" t="str">
        <f t="shared" si="127"/>
        <v>B</v>
      </c>
      <c r="B399" s="1" t="str">
        <f>"LTS622"</f>
        <v>LTS622</v>
      </c>
      <c r="C399" s="1" t="str">
        <f>"가벼운 우울증상"</f>
        <v>가벼운 우울증상</v>
      </c>
      <c r="D399" s="1" t="str">
        <f>"가벼운 우울 상태로 판단되며 기분전환을 위한 노력이 필요합니다."</f>
        <v>가벼운 우울 상태로 판단되며 기분전환을 위한 노력이 필요합니다.</v>
      </c>
      <c r="E399" s="1" t="str">
        <f>"WOK01"</f>
        <v>WOK01</v>
      </c>
      <c r="F399" s="1" t="str">
        <f t="shared" ref="F399:F404" si="129">"PTM01"</f>
        <v>PTM01</v>
      </c>
      <c r="G399" s="1" t="str">
        <f>"DISF"</f>
        <v>DISF</v>
      </c>
      <c r="H399" s="1" t="str">
        <f>"REL21"</f>
        <v>REL21</v>
      </c>
      <c r="I399" s="1" t="str">
        <f>""</f>
        <v/>
      </c>
      <c r="J399" s="1" t="str">
        <f>""</f>
        <v/>
      </c>
      <c r="K399" s="1" t="str">
        <f>""</f>
        <v/>
      </c>
      <c r="L399" s="1" t="str">
        <f>"Q"</f>
        <v>Q</v>
      </c>
      <c r="M399" s="1" t="str">
        <f>"T19"</f>
        <v>T19</v>
      </c>
      <c r="N399" s="1" t="str">
        <f>"N"</f>
        <v>N</v>
      </c>
      <c r="O399" s="1" t="str">
        <f t="shared" si="123"/>
        <v>Y</v>
      </c>
      <c r="P399" s="1" t="str">
        <f t="shared" si="128"/>
        <v>Y</v>
      </c>
      <c r="Q399" s="1" t="str">
        <f t="shared" si="121"/>
        <v>A</v>
      </c>
    </row>
    <row r="400" spans="1:17" x14ac:dyDescent="0.3">
      <c r="A400" s="1" t="str">
        <f t="shared" si="127"/>
        <v>B</v>
      </c>
      <c r="B400" s="1" t="str">
        <f>"LTS691"</f>
        <v>LTS691</v>
      </c>
      <c r="C400" s="1" t="str">
        <f>"저체중관리"</f>
        <v>저체중관리</v>
      </c>
      <c r="D400" s="1" t="str">
        <f>"건강을 위해서는 적정체중의 유지가 필요합니다."</f>
        <v>건강을 위해서는 적정체중의 유지가 필요합니다.</v>
      </c>
      <c r="E400" s="1" t="str">
        <f>"WOK01"</f>
        <v>WOK01</v>
      </c>
      <c r="F400" s="1" t="str">
        <f t="shared" si="129"/>
        <v>PTM01</v>
      </c>
      <c r="G400" s="1" t="str">
        <f>"DISE"</f>
        <v>DISE</v>
      </c>
      <c r="H400" s="1" t="str">
        <f>"REL34"</f>
        <v>REL34</v>
      </c>
      <c r="I400" s="1" t="str">
        <f>""</f>
        <v/>
      </c>
      <c r="J400" s="1" t="str">
        <f>"C54C"</f>
        <v>C54C</v>
      </c>
      <c r="K400" s="1" t="str">
        <f>"C54C"</f>
        <v>C54C</v>
      </c>
      <c r="L400" s="1" t="str">
        <f t="shared" ref="L400:L431" si="130">"R"</f>
        <v>R</v>
      </c>
      <c r="M400" s="1" t="str">
        <f>""</f>
        <v/>
      </c>
      <c r="N400" s="1" t="str">
        <f t="shared" ref="N400:N431" si="131">"Y"</f>
        <v>Y</v>
      </c>
      <c r="O400" s="1" t="str">
        <f t="shared" si="123"/>
        <v>Y</v>
      </c>
      <c r="P400" s="1" t="str">
        <f t="shared" si="128"/>
        <v>Y</v>
      </c>
      <c r="Q400" s="1" t="str">
        <f t="shared" si="121"/>
        <v>A</v>
      </c>
    </row>
    <row r="401" spans="1:17" x14ac:dyDescent="0.3">
      <c r="A401" s="1" t="str">
        <f t="shared" si="127"/>
        <v>B</v>
      </c>
      <c r="B401" s="1" t="str">
        <f>"LTS693B"</f>
        <v>LTS693B</v>
      </c>
      <c r="C401" s="1" t="str">
        <f>"비만관리"</f>
        <v>비만관리</v>
      </c>
      <c r="D401" s="1" t="str">
        <f>"운동 및 식생활습관 개선을 통한 체중감량이 필요합니다."</f>
        <v>운동 및 식생활습관 개선을 통한 체중감량이 필요합니다.</v>
      </c>
      <c r="E401" s="1" t="str">
        <f>"WOK01"</f>
        <v>WOK01</v>
      </c>
      <c r="F401" s="1" t="str">
        <f t="shared" si="129"/>
        <v>PTM01</v>
      </c>
      <c r="G401" s="1" t="str">
        <f>"DISE"</f>
        <v>DISE</v>
      </c>
      <c r="H401" s="1" t="str">
        <f>"REL10"</f>
        <v>REL10</v>
      </c>
      <c r="I401" s="1" t="str">
        <f>""</f>
        <v/>
      </c>
      <c r="J401" s="1" t="str">
        <f t="shared" ref="J401:K404" si="132">"C35A"</f>
        <v>C35A</v>
      </c>
      <c r="K401" s="1" t="str">
        <f t="shared" si="132"/>
        <v>C35A</v>
      </c>
      <c r="L401" s="1" t="str">
        <f t="shared" si="130"/>
        <v>R</v>
      </c>
      <c r="M401" s="1" t="str">
        <f>"T03"</f>
        <v>T03</v>
      </c>
      <c r="N401" s="1" t="str">
        <f t="shared" si="131"/>
        <v>Y</v>
      </c>
      <c r="O401" s="1" t="str">
        <f t="shared" si="123"/>
        <v>Y</v>
      </c>
      <c r="P401" s="1" t="str">
        <f t="shared" si="128"/>
        <v>Y</v>
      </c>
      <c r="Q401" s="1" t="str">
        <f t="shared" si="121"/>
        <v>A</v>
      </c>
    </row>
    <row r="402" spans="1:17" x14ac:dyDescent="0.3">
      <c r="A402" s="1" t="str">
        <f t="shared" si="127"/>
        <v>B</v>
      </c>
      <c r="B402" s="1" t="str">
        <f>"M0016"</f>
        <v>M0016</v>
      </c>
      <c r="C402" s="1" t="str">
        <f>"기타소견(공단)"</f>
        <v>기타소견(공단)</v>
      </c>
      <c r="D402" s="1" t="str">
        <f>"조치명을 입력해주세요"</f>
        <v>조치명을 입력해주세요</v>
      </c>
      <c r="E402" s="1" t="str">
        <f>"WOK02"</f>
        <v>WOK02</v>
      </c>
      <c r="F402" s="1" t="str">
        <f t="shared" si="129"/>
        <v>PTM01</v>
      </c>
      <c r="G402" s="1" t="str">
        <f>""</f>
        <v/>
      </c>
      <c r="H402" s="1" t="str">
        <f>""</f>
        <v/>
      </c>
      <c r="I402" s="1" t="str">
        <f>""</f>
        <v/>
      </c>
      <c r="J402" s="1" t="str">
        <f t="shared" si="132"/>
        <v>C35A</v>
      </c>
      <c r="K402" s="1" t="str">
        <f t="shared" si="132"/>
        <v>C35A</v>
      </c>
      <c r="L402" s="1" t="str">
        <f t="shared" si="130"/>
        <v>R</v>
      </c>
      <c r="M402" s="1" t="str">
        <f>"T19"</f>
        <v>T19</v>
      </c>
      <c r="N402" s="1" t="str">
        <f t="shared" si="131"/>
        <v>Y</v>
      </c>
      <c r="O402" s="1" t="str">
        <f t="shared" si="123"/>
        <v>Y</v>
      </c>
      <c r="P402" s="1" t="str">
        <f t="shared" si="128"/>
        <v>Y</v>
      </c>
      <c r="Q402" s="1" t="str">
        <f t="shared" si="121"/>
        <v>A</v>
      </c>
    </row>
    <row r="403" spans="1:17" x14ac:dyDescent="0.3">
      <c r="A403" s="1" t="str">
        <f t="shared" si="127"/>
        <v>B</v>
      </c>
      <c r="B403" s="1" t="str">
        <f>"M0017"</f>
        <v>M0017</v>
      </c>
      <c r="C403" s="1" t="str">
        <f>"청력 측정 불가"</f>
        <v>청력 측정 불가</v>
      </c>
      <c r="D403" s="1" t="str">
        <f>"협조가 어려워 청력 측정이 불가합니다. 정기적으로 이비인후과 진료를 받으시기 바랍니다."</f>
        <v>협조가 어려워 청력 측정이 불가합니다. 정기적으로 이비인후과 진료를 받으시기 바랍니다.</v>
      </c>
      <c r="E403" s="1" t="str">
        <f>"WOK02"</f>
        <v>WOK02</v>
      </c>
      <c r="F403" s="1" t="str">
        <f t="shared" si="129"/>
        <v>PTM01</v>
      </c>
      <c r="G403" s="1" t="str">
        <f>""</f>
        <v/>
      </c>
      <c r="H403" s="1" t="str">
        <f>""</f>
        <v/>
      </c>
      <c r="I403" s="1" t="str">
        <f>""</f>
        <v/>
      </c>
      <c r="J403" s="1" t="str">
        <f t="shared" si="132"/>
        <v>C35A</v>
      </c>
      <c r="K403" s="1" t="str">
        <f t="shared" si="132"/>
        <v>C35A</v>
      </c>
      <c r="L403" s="1" t="str">
        <f t="shared" si="130"/>
        <v>R</v>
      </c>
      <c r="M403" s="1" t="str">
        <f>"T19"</f>
        <v>T19</v>
      </c>
      <c r="N403" s="1" t="str">
        <f t="shared" si="131"/>
        <v>Y</v>
      </c>
      <c r="O403" s="1" t="str">
        <f t="shared" si="123"/>
        <v>Y</v>
      </c>
      <c r="P403" s="1" t="str">
        <f t="shared" si="128"/>
        <v>Y</v>
      </c>
      <c r="Q403" s="1" t="str">
        <f t="shared" si="121"/>
        <v>A</v>
      </c>
    </row>
    <row r="404" spans="1:17" x14ac:dyDescent="0.3">
      <c r="A404" s="1" t="str">
        <f t="shared" si="127"/>
        <v>B</v>
      </c>
      <c r="B404" s="1" t="str">
        <f>"M0018"</f>
        <v>M0018</v>
      </c>
      <c r="C404" s="1" t="str">
        <f>"시력 측정 불가"</f>
        <v>시력 측정 불가</v>
      </c>
      <c r="D404" s="1" t="str">
        <f>"협조가 어려워 시력 측정이 불가합니다. 정기적으로 안과 진료를 받으시기 바랍니다."</f>
        <v>협조가 어려워 시력 측정이 불가합니다. 정기적으로 안과 진료를 받으시기 바랍니다.</v>
      </c>
      <c r="E404" s="1" t="str">
        <f>"WOK02"</f>
        <v>WOK02</v>
      </c>
      <c r="F404" s="1" t="str">
        <f t="shared" si="129"/>
        <v>PTM01</v>
      </c>
      <c r="G404" s="1" t="str">
        <f>""</f>
        <v/>
      </c>
      <c r="H404" s="1" t="str">
        <f>""</f>
        <v/>
      </c>
      <c r="I404" s="1" t="str">
        <f>""</f>
        <v/>
      </c>
      <c r="J404" s="1" t="str">
        <f t="shared" si="132"/>
        <v>C35A</v>
      </c>
      <c r="K404" s="1" t="str">
        <f t="shared" si="132"/>
        <v>C35A</v>
      </c>
      <c r="L404" s="1" t="str">
        <f t="shared" si="130"/>
        <v>R</v>
      </c>
      <c r="M404" s="1" t="str">
        <f>"T19"</f>
        <v>T19</v>
      </c>
      <c r="N404" s="1" t="str">
        <f t="shared" si="131"/>
        <v>Y</v>
      </c>
      <c r="O404" s="1" t="str">
        <f t="shared" si="123"/>
        <v>Y</v>
      </c>
      <c r="P404" s="1" t="str">
        <f t="shared" si="128"/>
        <v>Y</v>
      </c>
      <c r="Q404" s="1" t="str">
        <f t="shared" si="121"/>
        <v>A</v>
      </c>
    </row>
    <row r="405" spans="1:17" x14ac:dyDescent="0.3">
      <c r="A405" s="1" t="str">
        <f t="shared" si="127"/>
        <v>B</v>
      </c>
      <c r="B405" s="1" t="str">
        <f>"M0113"</f>
        <v>M0113</v>
      </c>
      <c r="C405" s="1" t="str">
        <f>"수두 항체 없음"</f>
        <v>수두 항체 없음</v>
      </c>
      <c r="D405" s="1" t="str">
        <f>"수두(Varicella zoster)에 대한 항체가 없습니다. 예방접종 상담 바랍니다."</f>
        <v>수두(Varicella zoster)에 대한 항체가 없습니다. 예방접종 상담 바랍니다.</v>
      </c>
      <c r="E405" s="1" t="str">
        <f>"WOK01"</f>
        <v>WOK01</v>
      </c>
      <c r="F405" s="1" t="str">
        <f>"PTM011"</f>
        <v>PTM011</v>
      </c>
      <c r="G405" s="1" t="str">
        <f>"DISB"</f>
        <v>DISB</v>
      </c>
      <c r="H405" s="1" t="str">
        <f>"REL21"</f>
        <v>REL21</v>
      </c>
      <c r="I405" s="1" t="str">
        <f>""</f>
        <v/>
      </c>
      <c r="J405" s="1" t="str">
        <f>""</f>
        <v/>
      </c>
      <c r="K405" s="1" t="str">
        <f>""</f>
        <v/>
      </c>
      <c r="L405" s="1" t="str">
        <f t="shared" si="130"/>
        <v>R</v>
      </c>
      <c r="M405" s="1" t="str">
        <f>"T06"</f>
        <v>T06</v>
      </c>
      <c r="N405" s="1" t="str">
        <f t="shared" si="131"/>
        <v>Y</v>
      </c>
      <c r="O405" s="1" t="str">
        <f t="shared" si="123"/>
        <v>Y</v>
      </c>
      <c r="P405" s="1" t="str">
        <f t="shared" si="128"/>
        <v>Y</v>
      </c>
      <c r="Q405" s="1" t="str">
        <f t="shared" si="121"/>
        <v>A</v>
      </c>
    </row>
    <row r="406" spans="1:17" x14ac:dyDescent="0.3">
      <c r="A406" s="1" t="str">
        <f t="shared" si="127"/>
        <v>B</v>
      </c>
      <c r="B406" s="1" t="str">
        <f>"M0122"</f>
        <v>M0122</v>
      </c>
      <c r="C406" s="1" t="str">
        <f>"당화혈색소 증가(당뇨병 전단계)"</f>
        <v>당화혈색소 증가(당뇨병 전단계)</v>
      </c>
      <c r="D406" s="1" t="s">
        <v>103</v>
      </c>
      <c r="E406" s="1" t="str">
        <f>""</f>
        <v/>
      </c>
      <c r="F406" s="1" t="str">
        <f>""</f>
        <v/>
      </c>
      <c r="G406" s="1" t="str">
        <f>""</f>
        <v/>
      </c>
      <c r="H406" s="1" t="str">
        <f>"REL07"</f>
        <v>REL07</v>
      </c>
      <c r="I406" s="1" t="str">
        <f>""</f>
        <v/>
      </c>
      <c r="J406" s="1" t="str">
        <f>""</f>
        <v/>
      </c>
      <c r="K406" s="1" t="str">
        <f>""</f>
        <v/>
      </c>
      <c r="L406" s="1" t="str">
        <f t="shared" si="130"/>
        <v>R</v>
      </c>
      <c r="M406" s="1" t="str">
        <f>"T211"</f>
        <v>T211</v>
      </c>
      <c r="N406" s="1" t="str">
        <f t="shared" si="131"/>
        <v>Y</v>
      </c>
      <c r="O406" s="1" t="str">
        <f t="shared" si="123"/>
        <v>Y</v>
      </c>
      <c r="P406" s="1" t="str">
        <f t="shared" si="128"/>
        <v>Y</v>
      </c>
      <c r="Q406" s="1" t="str">
        <f t="shared" si="121"/>
        <v>A</v>
      </c>
    </row>
    <row r="407" spans="1:17" x14ac:dyDescent="0.3">
      <c r="A407" s="1" t="str">
        <f t="shared" si="127"/>
        <v>B</v>
      </c>
      <c r="B407" s="1" t="str">
        <f>"N252002"</f>
        <v>N252002</v>
      </c>
      <c r="C407" s="1" t="str">
        <f>"훼리틴 증가"</f>
        <v>훼리틴 증가</v>
      </c>
      <c r="D407" s="1" t="str">
        <f>"혈중 훼리틴 수치의 상승이 있습니다. 혈중 훼리틴은 혈액 내의 저장된 철분의 양을 주로 나타냅니다. 육류의 섭취가 과도할 경우에 일시적으로 상승할 수 있습니다.  경과 관찰 하시고 3개월 후 재검사 하시기 바랍니다."</f>
        <v>혈중 훼리틴 수치의 상승이 있습니다. 혈중 훼리틴은 혈액 내의 저장된 철분의 양을 주로 나타냅니다. 육류의 섭취가 과도할 경우에 일시적으로 상승할 수 있습니다.  경과 관찰 하시고 3개월 후 재검사 하시기 바랍니다.</v>
      </c>
      <c r="E407" s="1" t="str">
        <f>""</f>
        <v/>
      </c>
      <c r="F407" s="1" t="str">
        <f>""</f>
        <v/>
      </c>
      <c r="G407" s="1" t="str">
        <f>""</f>
        <v/>
      </c>
      <c r="H407" s="1" t="str">
        <f>""</f>
        <v/>
      </c>
      <c r="I407" s="1" t="str">
        <f>""</f>
        <v/>
      </c>
      <c r="J407" s="1" t="str">
        <f>""</f>
        <v/>
      </c>
      <c r="K407" s="1" t="str">
        <f>""</f>
        <v/>
      </c>
      <c r="L407" s="1" t="str">
        <f t="shared" si="130"/>
        <v>R</v>
      </c>
      <c r="M407" s="1" t="str">
        <f>""</f>
        <v/>
      </c>
      <c r="N407" s="1" t="str">
        <f t="shared" si="131"/>
        <v>Y</v>
      </c>
      <c r="O407" s="1" t="str">
        <f t="shared" si="123"/>
        <v>Y</v>
      </c>
      <c r="P407" s="1" t="str">
        <f t="shared" si="128"/>
        <v>Y</v>
      </c>
      <c r="Q407" s="1" t="str">
        <f t="shared" si="121"/>
        <v>A</v>
      </c>
    </row>
    <row r="408" spans="1:17" x14ac:dyDescent="0.3">
      <c r="A408" s="1" t="str">
        <f t="shared" si="127"/>
        <v>B</v>
      </c>
      <c r="B408" s="1" t="str">
        <f>"OSPLT1"</f>
        <v>OSPLT1</v>
      </c>
      <c r="C408" s="1" t="str">
        <f>"골밀도 검사상 경계범위(골밀도 감소증)"</f>
        <v>골밀도 검사상 경계범위(골밀도 감소증)</v>
      </c>
      <c r="D408" s="1" t="str">
        <f>"체중부하 운동 하시고 칼슘성분이 풍부한 식이를 하세요"</f>
        <v>체중부하 운동 하시고 칼슘성분이 풍부한 식이를 하세요</v>
      </c>
      <c r="E408" s="1" t="str">
        <f>"WOK01"</f>
        <v>WOK01</v>
      </c>
      <c r="F408" s="1" t="str">
        <f>""</f>
        <v/>
      </c>
      <c r="G408" s="1" t="str">
        <f>"DISM"</f>
        <v>DISM</v>
      </c>
      <c r="H408" s="1" t="str">
        <f>"REL32"</f>
        <v>REL32</v>
      </c>
      <c r="I408" s="1" t="str">
        <f>""</f>
        <v/>
      </c>
      <c r="J408" s="1" t="str">
        <f>"C43C"</f>
        <v>C43C</v>
      </c>
      <c r="K408" s="1" t="str">
        <f>"C43C"</f>
        <v>C43C</v>
      </c>
      <c r="L408" s="1" t="str">
        <f t="shared" si="130"/>
        <v>R</v>
      </c>
      <c r="M408" s="1" t="str">
        <f>""</f>
        <v/>
      </c>
      <c r="N408" s="1" t="str">
        <f t="shared" si="131"/>
        <v>Y</v>
      </c>
      <c r="O408" s="1" t="str">
        <f t="shared" si="123"/>
        <v>Y</v>
      </c>
      <c r="P408" s="1" t="str">
        <f t="shared" si="128"/>
        <v>Y</v>
      </c>
      <c r="Q408" s="1" t="str">
        <f t="shared" si="121"/>
        <v>A</v>
      </c>
    </row>
    <row r="409" spans="1:17" x14ac:dyDescent="0.3">
      <c r="A409" s="1" t="str">
        <f t="shared" si="127"/>
        <v>B</v>
      </c>
      <c r="B409" s="1" t="str">
        <f>"OSTEO2"</f>
        <v>OSTEO2</v>
      </c>
      <c r="C409" s="1" t="str">
        <f>"골감소증"</f>
        <v>골감소증</v>
      </c>
      <c r="D409" s="1" t="s">
        <v>104</v>
      </c>
      <c r="E409" s="1" t="str">
        <f>"WOK02"</f>
        <v>WOK02</v>
      </c>
      <c r="F409" s="1" t="str">
        <f>"PTM01"</f>
        <v>PTM01</v>
      </c>
      <c r="G409" s="1" t="str">
        <f>"DISE"</f>
        <v>DISE</v>
      </c>
      <c r="H409" s="1" t="str">
        <f>"REL32"</f>
        <v>REL32</v>
      </c>
      <c r="I409" s="1" t="str">
        <f>""</f>
        <v/>
      </c>
      <c r="J409" s="1" t="str">
        <f>"C35C"</f>
        <v>C35C</v>
      </c>
      <c r="K409" s="1" t="str">
        <f>"N01C"</f>
        <v>N01C</v>
      </c>
      <c r="L409" s="1" t="str">
        <f t="shared" si="130"/>
        <v>R</v>
      </c>
      <c r="M409" s="1" t="str">
        <f>"T21"</f>
        <v>T21</v>
      </c>
      <c r="N409" s="1" t="str">
        <f t="shared" si="131"/>
        <v>Y</v>
      </c>
      <c r="O409" s="1" t="str">
        <f t="shared" si="123"/>
        <v>Y</v>
      </c>
      <c r="P409" s="1" t="str">
        <f t="shared" si="128"/>
        <v>Y</v>
      </c>
      <c r="Q409" s="1" t="str">
        <f t="shared" si="121"/>
        <v>A</v>
      </c>
    </row>
    <row r="410" spans="1:17" x14ac:dyDescent="0.3">
      <c r="A410" s="1" t="str">
        <f t="shared" si="127"/>
        <v>B</v>
      </c>
      <c r="B410" s="1" t="str">
        <f>"PTULT3"</f>
        <v>PTULT3</v>
      </c>
      <c r="C410" s="1" t="str">
        <f>"경미한 단백뇨"</f>
        <v>경미한 단백뇨</v>
      </c>
      <c r="D410" s="1" t="str">
        <f>"과로나 심한 운동 후 일시적으로 나타날 수 있습니다. 만일 소변량이 줄거나 몸이 붓는 증상이 있는 경우는 추적검사 받으시기를 권합니다."</f>
        <v>과로나 심한 운동 후 일시적으로 나타날 수 있습니다. 만일 소변량이 줄거나 몸이 붓는 증상이 있는 경우는 추적검사 받으시기를 권합니다.</v>
      </c>
      <c r="E410" s="1" t="str">
        <f>"WOK01"</f>
        <v>WOK01</v>
      </c>
      <c r="F410" s="1" t="str">
        <f>"PTM00"</f>
        <v>PTM00</v>
      </c>
      <c r="G410" s="1" t="str">
        <f>"DISN"</f>
        <v>DISN</v>
      </c>
      <c r="H410" s="1" t="str">
        <f>"REL08"</f>
        <v>REL08</v>
      </c>
      <c r="I410" s="1" t="str">
        <f>""</f>
        <v/>
      </c>
      <c r="J410" s="1" t="str">
        <f>"C07A"</f>
        <v>C07A</v>
      </c>
      <c r="K410" s="1" t="str">
        <f>"C07A"</f>
        <v>C07A</v>
      </c>
      <c r="L410" s="1" t="str">
        <f t="shared" si="130"/>
        <v>R</v>
      </c>
      <c r="M410" s="1" t="str">
        <f>"T05"</f>
        <v>T05</v>
      </c>
      <c r="N410" s="1" t="str">
        <f t="shared" si="131"/>
        <v>Y</v>
      </c>
      <c r="O410" s="1" t="str">
        <f t="shared" si="123"/>
        <v>Y</v>
      </c>
      <c r="P410" s="1" t="str">
        <f t="shared" si="128"/>
        <v>Y</v>
      </c>
      <c r="Q410" s="1" t="str">
        <f t="shared" si="121"/>
        <v>A</v>
      </c>
    </row>
    <row r="411" spans="1:17" x14ac:dyDescent="0.3">
      <c r="A411" s="1" t="str">
        <f t="shared" si="127"/>
        <v>B</v>
      </c>
      <c r="B411" s="1" t="str">
        <f>"PUL202"</f>
        <v>PUL202</v>
      </c>
      <c r="C411" s="1" t="str">
        <f>"수술 흔적"</f>
        <v>수술 흔적</v>
      </c>
      <c r="D411" s="1" t="str">
        <f>"과거의 흉부(가슴) 수술 흔적이 보입니다."</f>
        <v>과거의 흉부(가슴) 수술 흔적이 보입니다.</v>
      </c>
      <c r="E411" s="1" t="str">
        <f>"WOK01"</f>
        <v>WOK01</v>
      </c>
      <c r="F411" s="1" t="str">
        <f>"PTM00"</f>
        <v>PTM00</v>
      </c>
      <c r="G411" s="1" t="str">
        <f>"DISJ"</f>
        <v>DISJ</v>
      </c>
      <c r="H411" s="1" t="str">
        <f>"REL02"</f>
        <v>REL02</v>
      </c>
      <c r="I411" s="1" t="str">
        <f>""</f>
        <v/>
      </c>
      <c r="J411" s="1" t="str">
        <f>"C02D"</f>
        <v>C02D</v>
      </c>
      <c r="K411" s="1" t="str">
        <f>"C02D"</f>
        <v>C02D</v>
      </c>
      <c r="L411" s="1" t="str">
        <f t="shared" si="130"/>
        <v>R</v>
      </c>
      <c r="M411" s="1" t="str">
        <f>"T04"</f>
        <v>T04</v>
      </c>
      <c r="N411" s="1" t="str">
        <f t="shared" si="131"/>
        <v>Y</v>
      </c>
      <c r="O411" s="1" t="str">
        <f t="shared" si="123"/>
        <v>Y</v>
      </c>
      <c r="P411" s="1" t="str">
        <f t="shared" si="128"/>
        <v>Y</v>
      </c>
      <c r="Q411" s="1" t="str">
        <f t="shared" si="121"/>
        <v>A</v>
      </c>
    </row>
    <row r="412" spans="1:17" x14ac:dyDescent="0.3">
      <c r="A412" s="1" t="str">
        <f t="shared" si="127"/>
        <v>B</v>
      </c>
      <c r="B412" s="1" t="str">
        <f>"PUL314"</f>
        <v>PUL314</v>
      </c>
      <c r="C412" s="1" t="str">
        <f>"폐기포(수포)"</f>
        <v>폐기포(수포)</v>
      </c>
      <c r="D412" s="1" t="str">
        <f>"호흡곤란 등의 증상이 있으면 호흡기 내과 진료를 받으시기 바랍니다."</f>
        <v>호흡곤란 등의 증상이 있으면 호흡기 내과 진료를 받으시기 바랍니다.</v>
      </c>
      <c r="E412" s="1" t="str">
        <f>"WOK02"</f>
        <v>WOK02</v>
      </c>
      <c r="F412" s="1" t="str">
        <f>"PTM03"</f>
        <v>PTM03</v>
      </c>
      <c r="G412" s="1" t="str">
        <f>"DISJ"</f>
        <v>DISJ</v>
      </c>
      <c r="H412" s="1" t="str">
        <f>"REL02"</f>
        <v>REL02</v>
      </c>
      <c r="I412" s="1" t="str">
        <f>""</f>
        <v/>
      </c>
      <c r="J412" s="1" t="str">
        <f>"C40C"</f>
        <v>C40C</v>
      </c>
      <c r="K412" s="1" t="str">
        <f>"C40C"</f>
        <v>C40C</v>
      </c>
      <c r="L412" s="1" t="str">
        <f t="shared" si="130"/>
        <v>R</v>
      </c>
      <c r="M412" s="1" t="str">
        <f>"T04"</f>
        <v>T04</v>
      </c>
      <c r="N412" s="1" t="str">
        <f t="shared" si="131"/>
        <v>Y</v>
      </c>
      <c r="O412" s="1" t="str">
        <f t="shared" si="123"/>
        <v>Y</v>
      </c>
      <c r="P412" s="1" t="str">
        <f t="shared" si="128"/>
        <v>Y</v>
      </c>
      <c r="Q412" s="1" t="str">
        <f t="shared" si="121"/>
        <v>A</v>
      </c>
    </row>
    <row r="413" spans="1:17" x14ac:dyDescent="0.3">
      <c r="A413" s="1" t="str">
        <f t="shared" si="127"/>
        <v>B</v>
      </c>
      <c r="B413" s="1" t="str">
        <f>"STU207DH1"</f>
        <v>STU207DH1</v>
      </c>
      <c r="C413" s="1" t="str">
        <f>"시력저하"</f>
        <v>시력저하</v>
      </c>
      <c r="D413" s="1" t="str">
        <f>"시력저하가 있습니다. 안과 진료 통한 정밀검사 필요합니다."</f>
        <v>시력저하가 있습니다. 안과 진료 통한 정밀검사 필요합니다.</v>
      </c>
      <c r="E413" s="1" t="str">
        <f>"WOK02"</f>
        <v>WOK02</v>
      </c>
      <c r="F413" s="1" t="str">
        <f>"PTM01"</f>
        <v>PTM01</v>
      </c>
      <c r="G413" s="1" t="str">
        <f>"DISH"</f>
        <v>DISH</v>
      </c>
      <c r="H413" s="1" t="str">
        <f>"REL14"</f>
        <v>REL14</v>
      </c>
      <c r="I413" s="1" t="str">
        <f>""</f>
        <v/>
      </c>
      <c r="J413" s="1" t="str">
        <f>""</f>
        <v/>
      </c>
      <c r="K413" s="1" t="str">
        <f>""</f>
        <v/>
      </c>
      <c r="L413" s="1" t="str">
        <f t="shared" si="130"/>
        <v>R</v>
      </c>
      <c r="M413" s="1" t="str">
        <f>"T09"</f>
        <v>T09</v>
      </c>
      <c r="N413" s="1" t="str">
        <f t="shared" si="131"/>
        <v>Y</v>
      </c>
      <c r="O413" s="1" t="str">
        <f>"N"</f>
        <v>N</v>
      </c>
      <c r="P413" s="1" t="str">
        <f t="shared" si="128"/>
        <v>Y</v>
      </c>
      <c r="Q413" s="1" t="str">
        <f t="shared" si="121"/>
        <v>A</v>
      </c>
    </row>
    <row r="414" spans="1:17" x14ac:dyDescent="0.3">
      <c r="A414" s="1" t="str">
        <f t="shared" si="127"/>
        <v>B</v>
      </c>
      <c r="B414" s="1" t="str">
        <f>"STU207DH2"</f>
        <v>STU207DH2</v>
      </c>
      <c r="C414" s="1" t="str">
        <f>"시력저하"</f>
        <v>시력저하</v>
      </c>
      <c r="D414" s="1" t="str">
        <f>"시력저하가 있습니다. 안과 진료 통한 관리 필요합니다."</f>
        <v>시력저하가 있습니다. 안과 진료 통한 관리 필요합니다.</v>
      </c>
      <c r="E414" s="1" t="str">
        <f>"WOK02"</f>
        <v>WOK02</v>
      </c>
      <c r="F414" s="1" t="str">
        <f>"PTM01"</f>
        <v>PTM01</v>
      </c>
      <c r="G414" s="1" t="str">
        <f>"DISH"</f>
        <v>DISH</v>
      </c>
      <c r="H414" s="1" t="str">
        <f>"REL14"</f>
        <v>REL14</v>
      </c>
      <c r="I414" s="1" t="str">
        <f>""</f>
        <v/>
      </c>
      <c r="J414" s="1" t="str">
        <f>""</f>
        <v/>
      </c>
      <c r="K414" s="1" t="str">
        <f>""</f>
        <v/>
      </c>
      <c r="L414" s="1" t="str">
        <f t="shared" si="130"/>
        <v>R</v>
      </c>
      <c r="M414" s="1" t="str">
        <f>"T09"</f>
        <v>T09</v>
      </c>
      <c r="N414" s="1" t="str">
        <f t="shared" si="131"/>
        <v>Y</v>
      </c>
      <c r="O414" s="1" t="str">
        <f>"N"</f>
        <v>N</v>
      </c>
      <c r="P414" s="1" t="str">
        <f t="shared" si="128"/>
        <v>Y</v>
      </c>
      <c r="Q414" s="1" t="str">
        <f t="shared" si="121"/>
        <v>A</v>
      </c>
    </row>
    <row r="415" spans="1:17" x14ac:dyDescent="0.3">
      <c r="A415" s="1" t="str">
        <f t="shared" si="127"/>
        <v>B</v>
      </c>
      <c r="B415" s="1" t="str">
        <f>"STU309"</f>
        <v>STU309</v>
      </c>
      <c r="C415" s="1" t="str">
        <f>"교정시력 저하"</f>
        <v>교정시력 저하</v>
      </c>
      <c r="D415" s="1" t="str">
        <f>"교정시력이 저하되어 있습니다.안경교정전에 먼저 안과검사를 받을것을 권합니다."</f>
        <v>교정시력이 저하되어 있습니다.안경교정전에 먼저 안과검사를 받을것을 권합니다.</v>
      </c>
      <c r="E415" s="1" t="str">
        <f>"WOK01"</f>
        <v>WOK01</v>
      </c>
      <c r="F415" s="1" t="str">
        <f>""</f>
        <v/>
      </c>
      <c r="G415" s="1" t="str">
        <f>"DISH"</f>
        <v>DISH</v>
      </c>
      <c r="H415" s="1" t="str">
        <f>"REL31"</f>
        <v>REL31</v>
      </c>
      <c r="I415" s="1" t="str">
        <f>""</f>
        <v/>
      </c>
      <c r="J415" s="1" t="str">
        <f>"C38C"</f>
        <v>C38C</v>
      </c>
      <c r="K415" s="1" t="str">
        <f>"C38C"</f>
        <v>C38C</v>
      </c>
      <c r="L415" s="1" t="str">
        <f t="shared" si="130"/>
        <v>R</v>
      </c>
      <c r="M415" s="1" t="str">
        <f>"T09"</f>
        <v>T09</v>
      </c>
      <c r="N415" s="1" t="str">
        <f t="shared" si="131"/>
        <v>Y</v>
      </c>
      <c r="O415" s="1" t="str">
        <f t="shared" ref="O415:O453" si="133">"Y"</f>
        <v>Y</v>
      </c>
      <c r="P415" s="1" t="str">
        <f t="shared" si="128"/>
        <v>Y</v>
      </c>
      <c r="Q415" s="1" t="str">
        <f t="shared" si="121"/>
        <v>A</v>
      </c>
    </row>
    <row r="416" spans="1:17" x14ac:dyDescent="0.3">
      <c r="A416" s="1" t="str">
        <f t="shared" si="127"/>
        <v>B</v>
      </c>
      <c r="B416" s="1" t="str">
        <f>"VZVIGG1"</f>
        <v>VZVIGG1</v>
      </c>
      <c r="C416" s="1" t="str">
        <f>"수두 항체 없음"</f>
        <v>수두 항체 없음</v>
      </c>
      <c r="D416" s="1" t="str">
        <f>"수두(Varicella zoster)에 대한 항체가 음성입니다. 예방접종에 대한 상담을 받으시기 바랍니다."</f>
        <v>수두(Varicella zoster)에 대한 항체가 음성입니다. 예방접종에 대한 상담을 받으시기 바랍니다.</v>
      </c>
      <c r="E416" s="1" t="str">
        <f>""</f>
        <v/>
      </c>
      <c r="F416" s="1" t="str">
        <f>""</f>
        <v/>
      </c>
      <c r="G416" s="1" t="str">
        <f>""</f>
        <v/>
      </c>
      <c r="H416" s="1" t="str">
        <f>""</f>
        <v/>
      </c>
      <c r="I416" s="1" t="str">
        <f>""</f>
        <v/>
      </c>
      <c r="J416" s="1" t="str">
        <f>""</f>
        <v/>
      </c>
      <c r="K416" s="1" t="str">
        <f>""</f>
        <v/>
      </c>
      <c r="L416" s="1" t="str">
        <f t="shared" si="130"/>
        <v>R</v>
      </c>
      <c r="M416" s="1" t="str">
        <f>""</f>
        <v/>
      </c>
      <c r="N416" s="1" t="str">
        <f t="shared" si="131"/>
        <v>Y</v>
      </c>
      <c r="O416" s="1" t="str">
        <f t="shared" si="133"/>
        <v>Y</v>
      </c>
      <c r="P416" s="1" t="str">
        <f t="shared" si="128"/>
        <v>Y</v>
      </c>
      <c r="Q416" s="1" t="str">
        <f t="shared" si="121"/>
        <v>A</v>
      </c>
    </row>
    <row r="417" spans="1:17" x14ac:dyDescent="0.3">
      <c r="A417" s="1" t="str">
        <f t="shared" ref="A417:A448" si="134">"C"</f>
        <v>C</v>
      </c>
      <c r="B417" s="1" t="str">
        <f>"AAC201"</f>
        <v>AAC201</v>
      </c>
      <c r="C417" s="1" t="str">
        <f>"경미한 청력저하"</f>
        <v>경미한 청력저하</v>
      </c>
      <c r="D417" s="1" t="str">
        <f>"청력저하 소견 보입니다. 생활에 불편시 이비인후과 진료 요합니다."</f>
        <v>청력저하 소견 보입니다. 생활에 불편시 이비인후과 진료 요합니다.</v>
      </c>
      <c r="E417" s="1" t="str">
        <f>"WOK02"</f>
        <v>WOK02</v>
      </c>
      <c r="F417" s="1" t="str">
        <f>"PTM01"</f>
        <v>PTM01</v>
      </c>
      <c r="G417" s="1" t="str">
        <f>"DISH"</f>
        <v>DISH</v>
      </c>
      <c r="H417" s="1" t="str">
        <f>"REL19"</f>
        <v>REL19</v>
      </c>
      <c r="I417" s="1" t="str">
        <f>""</f>
        <v/>
      </c>
      <c r="J417" s="1" t="str">
        <f>"C55C"</f>
        <v>C55C</v>
      </c>
      <c r="K417" s="1" t="str">
        <f>"C55C"</f>
        <v>C55C</v>
      </c>
      <c r="L417" s="1" t="str">
        <f t="shared" si="130"/>
        <v>R</v>
      </c>
      <c r="M417" s="1" t="str">
        <f>"T10"</f>
        <v>T10</v>
      </c>
      <c r="N417" s="1" t="str">
        <f t="shared" si="131"/>
        <v>Y</v>
      </c>
      <c r="O417" s="1" t="str">
        <f t="shared" si="133"/>
        <v>Y</v>
      </c>
      <c r="P417" s="1" t="str">
        <f t="shared" si="128"/>
        <v>Y</v>
      </c>
      <c r="Q417" s="1" t="str">
        <f t="shared" si="121"/>
        <v>A</v>
      </c>
    </row>
    <row r="418" spans="1:17" x14ac:dyDescent="0.3">
      <c r="A418" s="1" t="str">
        <f t="shared" si="134"/>
        <v>C</v>
      </c>
      <c r="B418" s="1" t="str">
        <f>"ANE301"</f>
        <v>ANE301</v>
      </c>
      <c r="C418" s="1" t="str">
        <f>"빈혈주의"</f>
        <v>빈혈주의</v>
      </c>
      <c r="D418" s="1" t="str">
        <f>"철분과 단백질이 풍부한 음식을 섭취하시고 주기적인 빈혈 추적검사를 받으세요."</f>
        <v>철분과 단백질이 풍부한 음식을 섭취하시고 주기적인 빈혈 추적검사를 받으세요.</v>
      </c>
      <c r="E418" s="1" t="str">
        <f>"WOK02"</f>
        <v>WOK02</v>
      </c>
      <c r="F418" s="1" t="str">
        <f>"PTM01"</f>
        <v>PTM01</v>
      </c>
      <c r="G418" s="1" t="str">
        <f>"DISD"</f>
        <v>DISD</v>
      </c>
      <c r="H418" s="1" t="str">
        <f>"REL12"</f>
        <v>REL12</v>
      </c>
      <c r="I418" s="1" t="str">
        <f>""</f>
        <v/>
      </c>
      <c r="J418" s="1" t="str">
        <f>"C08C"</f>
        <v>C08C</v>
      </c>
      <c r="K418" s="1" t="str">
        <f>"C08C"</f>
        <v>C08C</v>
      </c>
      <c r="L418" s="1" t="str">
        <f t="shared" si="130"/>
        <v>R</v>
      </c>
      <c r="M418" s="1" t="str">
        <f>"T01"</f>
        <v>T01</v>
      </c>
      <c r="N418" s="1" t="str">
        <f t="shared" si="131"/>
        <v>Y</v>
      </c>
      <c r="O418" s="1" t="str">
        <f t="shared" si="133"/>
        <v>Y</v>
      </c>
      <c r="P418" s="1" t="str">
        <f t="shared" si="128"/>
        <v>Y</v>
      </c>
      <c r="Q418" s="1" t="str">
        <f t="shared" si="121"/>
        <v>A</v>
      </c>
    </row>
    <row r="419" spans="1:17" x14ac:dyDescent="0.3">
      <c r="A419" s="1" t="str">
        <f t="shared" si="134"/>
        <v>C</v>
      </c>
      <c r="B419" s="1" t="str">
        <f>"ANE401BB"</f>
        <v>ANE401BB</v>
      </c>
      <c r="C419" s="1" t="str">
        <f>"빈혈"</f>
        <v>빈혈</v>
      </c>
      <c r="D419" s="1" t="str">
        <f>"혈색소 감소로 빈혈이 의심됩니다. 정밀검사위한 진료요함"</f>
        <v>혈색소 감소로 빈혈이 의심됩니다. 정밀검사위한 진료요함</v>
      </c>
      <c r="E419" s="1" t="str">
        <f>"WOK02"</f>
        <v>WOK02</v>
      </c>
      <c r="F419" s="1" t="str">
        <f>"PTM04"</f>
        <v>PTM04</v>
      </c>
      <c r="G419" s="1" t="str">
        <f>"DISD"</f>
        <v>DISD</v>
      </c>
      <c r="H419" s="1" t="str">
        <f>"REL12"</f>
        <v>REL12</v>
      </c>
      <c r="I419" s="1" t="str">
        <f>""</f>
        <v/>
      </c>
      <c r="J419" s="1" t="str">
        <f>"C08C"</f>
        <v>C08C</v>
      </c>
      <c r="K419" s="1" t="str">
        <f>"C08C"</f>
        <v>C08C</v>
      </c>
      <c r="L419" s="1" t="str">
        <f t="shared" si="130"/>
        <v>R</v>
      </c>
      <c r="M419" s="1" t="str">
        <f>"T01"</f>
        <v>T01</v>
      </c>
      <c r="N419" s="1" t="str">
        <f t="shared" si="131"/>
        <v>Y</v>
      </c>
      <c r="O419" s="1" t="str">
        <f t="shared" si="133"/>
        <v>Y</v>
      </c>
      <c r="P419" s="1" t="str">
        <f t="shared" si="128"/>
        <v>Y</v>
      </c>
      <c r="Q419" s="1" t="str">
        <f t="shared" si="121"/>
        <v>A</v>
      </c>
    </row>
    <row r="420" spans="1:17" x14ac:dyDescent="0.3">
      <c r="A420" s="1" t="str">
        <f t="shared" si="134"/>
        <v>C</v>
      </c>
      <c r="B420" s="1" t="str">
        <f>"B130101C"</f>
        <v>B130101C</v>
      </c>
      <c r="C420" s="1" t="str">
        <f>"경미한 요잠혈 검출"</f>
        <v>경미한 요잠혈 검출</v>
      </c>
      <c r="D420" s="1" t="str">
        <f>"소변검사에서 요잠혈이 경미하게 검출됩니다. 일시적인 현상이나 검체 오염에 의할 가능성이 높습니다. 3개월 뒤 추적검사 바랍니다."</f>
        <v>소변검사에서 요잠혈이 경미하게 검출됩니다. 일시적인 현상이나 검체 오염에 의할 가능성이 높습니다. 3개월 뒤 추적검사 바랍니다.</v>
      </c>
      <c r="E420" s="1" t="str">
        <f>""</f>
        <v/>
      </c>
      <c r="F420" s="1" t="str">
        <f>""</f>
        <v/>
      </c>
      <c r="G420" s="1" t="str">
        <f>""</f>
        <v/>
      </c>
      <c r="H420" s="1" t="str">
        <f>""</f>
        <v/>
      </c>
      <c r="I420" s="1" t="str">
        <f>""</f>
        <v/>
      </c>
      <c r="J420" s="1" t="str">
        <f>""</f>
        <v/>
      </c>
      <c r="K420" s="1" t="str">
        <f>""</f>
        <v/>
      </c>
      <c r="L420" s="1" t="str">
        <f t="shared" si="130"/>
        <v>R</v>
      </c>
      <c r="M420" s="1" t="str">
        <f>""</f>
        <v/>
      </c>
      <c r="N420" s="1" t="str">
        <f t="shared" si="131"/>
        <v>Y</v>
      </c>
      <c r="O420" s="1" t="str">
        <f t="shared" si="133"/>
        <v>Y</v>
      </c>
      <c r="P420" s="1" t="str">
        <f t="shared" si="128"/>
        <v>Y</v>
      </c>
      <c r="Q420" s="1" t="str">
        <f t="shared" si="121"/>
        <v>A</v>
      </c>
    </row>
    <row r="421" spans="1:17" x14ac:dyDescent="0.3">
      <c r="A421" s="1" t="str">
        <f t="shared" si="134"/>
        <v>C</v>
      </c>
      <c r="B421" s="1" t="str">
        <f>"B130101C1"</f>
        <v>B130101C1</v>
      </c>
      <c r="C421" s="1" t="str">
        <f>"경미한 요잠혈 검출"</f>
        <v>경미한 요잠혈 검출</v>
      </c>
      <c r="D421" s="1" t="str">
        <f>"소변검사에서 요잠혈이 경미하게 검출됩니다. 일시적인 현상이나 생리혈 등에 의해 검체가 오염되었을 가능성이 높습니다. 3개월 뒤 추적검사 바랍니다."</f>
        <v>소변검사에서 요잠혈이 경미하게 검출됩니다. 일시적인 현상이나 생리혈 등에 의해 검체가 오염되었을 가능성이 높습니다. 3개월 뒤 추적검사 바랍니다.</v>
      </c>
      <c r="E421" s="1" t="str">
        <f>""</f>
        <v/>
      </c>
      <c r="F421" s="1" t="str">
        <f>""</f>
        <v/>
      </c>
      <c r="G421" s="1" t="str">
        <f>""</f>
        <v/>
      </c>
      <c r="H421" s="1" t="str">
        <f>""</f>
        <v/>
      </c>
      <c r="I421" s="1" t="str">
        <f>""</f>
        <v/>
      </c>
      <c r="J421" s="1" t="str">
        <f>""</f>
        <v/>
      </c>
      <c r="K421" s="1" t="str">
        <f>""</f>
        <v/>
      </c>
      <c r="L421" s="1" t="str">
        <f t="shared" si="130"/>
        <v>R</v>
      </c>
      <c r="M421" s="1" t="str">
        <f>""</f>
        <v/>
      </c>
      <c r="N421" s="1" t="str">
        <f t="shared" si="131"/>
        <v>Y</v>
      </c>
      <c r="O421" s="1" t="str">
        <f t="shared" si="133"/>
        <v>Y</v>
      </c>
      <c r="P421" s="1" t="str">
        <f t="shared" si="128"/>
        <v>Y</v>
      </c>
      <c r="Q421" s="1" t="str">
        <f t="shared" si="121"/>
        <v>A</v>
      </c>
    </row>
    <row r="422" spans="1:17" x14ac:dyDescent="0.3">
      <c r="A422" s="1" t="str">
        <f t="shared" si="134"/>
        <v>C</v>
      </c>
      <c r="B422" s="1" t="str">
        <f>"B130101CBB"</f>
        <v>B130101CBB</v>
      </c>
      <c r="C422" s="1" t="str">
        <f>"요잠혈 검출"</f>
        <v>요잠혈 검출</v>
      </c>
      <c r="D422" s="1" t="s">
        <v>105</v>
      </c>
      <c r="E422" s="1" t="str">
        <f>"WOK02"</f>
        <v>WOK02</v>
      </c>
      <c r="F422" s="1" t="str">
        <f>"PTM03"</f>
        <v>PTM03</v>
      </c>
      <c r="G422" s="1" t="str">
        <f>"DISN"</f>
        <v>DISN</v>
      </c>
      <c r="H422" s="1" t="str">
        <f>"REL09"</f>
        <v>REL09</v>
      </c>
      <c r="I422" s="1" t="str">
        <f>""</f>
        <v/>
      </c>
      <c r="J422" s="1" t="str">
        <f>"C07C"</f>
        <v>C07C</v>
      </c>
      <c r="K422" s="1" t="str">
        <f>"C07C"</f>
        <v>C07C</v>
      </c>
      <c r="L422" s="1" t="str">
        <f t="shared" si="130"/>
        <v>R</v>
      </c>
      <c r="M422" s="1" t="str">
        <f>"T05"</f>
        <v>T05</v>
      </c>
      <c r="N422" s="1" t="str">
        <f t="shared" si="131"/>
        <v>Y</v>
      </c>
      <c r="O422" s="1" t="str">
        <f t="shared" si="133"/>
        <v>Y</v>
      </c>
      <c r="P422" s="1" t="str">
        <f t="shared" si="128"/>
        <v>Y</v>
      </c>
      <c r="Q422" s="1" t="str">
        <f t="shared" si="121"/>
        <v>A</v>
      </c>
    </row>
    <row r="423" spans="1:17" x14ac:dyDescent="0.3">
      <c r="A423" s="1" t="str">
        <f t="shared" si="134"/>
        <v>C</v>
      </c>
      <c r="B423" s="1" t="str">
        <f>"B130101CD"</f>
        <v>B130101CD</v>
      </c>
      <c r="C423" s="1" t="str">
        <f>"요잠혈 검출(생리중)"</f>
        <v>요잠혈 검출(생리중)</v>
      </c>
      <c r="D423" s="1" t="s">
        <v>106</v>
      </c>
      <c r="E423" s="1" t="str">
        <f>""</f>
        <v/>
      </c>
      <c r="F423" s="1" t="str">
        <f>""</f>
        <v/>
      </c>
      <c r="G423" s="1" t="str">
        <f>""</f>
        <v/>
      </c>
      <c r="H423" s="1" t="str">
        <f>""</f>
        <v/>
      </c>
      <c r="I423" s="1" t="str">
        <f>""</f>
        <v/>
      </c>
      <c r="J423" s="1" t="str">
        <f>""</f>
        <v/>
      </c>
      <c r="K423" s="1" t="str">
        <f>""</f>
        <v/>
      </c>
      <c r="L423" s="1" t="str">
        <f t="shared" si="130"/>
        <v>R</v>
      </c>
      <c r="M423" s="1" t="str">
        <f>""</f>
        <v/>
      </c>
      <c r="N423" s="1" t="str">
        <f t="shared" si="131"/>
        <v>Y</v>
      </c>
      <c r="O423" s="1" t="str">
        <f t="shared" si="133"/>
        <v>Y</v>
      </c>
      <c r="P423" s="1" t="str">
        <f t="shared" si="128"/>
        <v>Y</v>
      </c>
      <c r="Q423" s="1" t="str">
        <f t="shared" ref="Q423:Q486" si="135">"A"</f>
        <v>A</v>
      </c>
    </row>
    <row r="424" spans="1:17" x14ac:dyDescent="0.3">
      <c r="A424" s="1" t="str">
        <f t="shared" si="134"/>
        <v>C</v>
      </c>
      <c r="B424" s="1" t="str">
        <f>"B130101CS"</f>
        <v>B130101CS</v>
      </c>
      <c r="C424" s="1" t="str">
        <f>"요잠혈 검출"</f>
        <v>요잠혈 검출</v>
      </c>
      <c r="D424" s="1" t="str">
        <f>"요잠혈 수치 이상입니다. 생리혈에 의한 검체오염일 가능성 있으나 단백뇨 등 다른 이상을 동반할 경우 신장질환 가능성 있으니 추적검사 또는 신장내과 진료 바랍니다."</f>
        <v>요잠혈 수치 이상입니다. 생리혈에 의한 검체오염일 가능성 있으나 단백뇨 등 다른 이상을 동반할 경우 신장질환 가능성 있으니 추적검사 또는 신장내과 진료 바랍니다.</v>
      </c>
      <c r="E424" s="1" t="str">
        <f>""</f>
        <v/>
      </c>
      <c r="F424" s="1" t="str">
        <f>""</f>
        <v/>
      </c>
      <c r="G424" s="1" t="str">
        <f>""</f>
        <v/>
      </c>
      <c r="H424" s="1" t="str">
        <f>""</f>
        <v/>
      </c>
      <c r="I424" s="1" t="str">
        <f>""</f>
        <v/>
      </c>
      <c r="J424" s="1" t="str">
        <f>""</f>
        <v/>
      </c>
      <c r="K424" s="1" t="str">
        <f>""</f>
        <v/>
      </c>
      <c r="L424" s="1" t="str">
        <f t="shared" si="130"/>
        <v>R</v>
      </c>
      <c r="M424" s="1" t="str">
        <f>""</f>
        <v/>
      </c>
      <c r="N424" s="1" t="str">
        <f t="shared" si="131"/>
        <v>Y</v>
      </c>
      <c r="O424" s="1" t="str">
        <f t="shared" si="133"/>
        <v>Y</v>
      </c>
      <c r="P424" s="1" t="str">
        <f t="shared" si="128"/>
        <v>Y</v>
      </c>
      <c r="Q424" s="1" t="str">
        <f t="shared" si="135"/>
        <v>A</v>
      </c>
    </row>
    <row r="425" spans="1:17" x14ac:dyDescent="0.3">
      <c r="A425" s="1" t="str">
        <f t="shared" si="134"/>
        <v>C</v>
      </c>
      <c r="B425" s="1" t="str">
        <f>"C465001"</f>
        <v>C465001</v>
      </c>
      <c r="C425" s="1" t="str">
        <f>"헬리코박터 항체검사 양성"</f>
        <v>헬리코박터 항체검사 양성</v>
      </c>
      <c r="D425" s="1" t="s">
        <v>107</v>
      </c>
      <c r="E425" s="1" t="str">
        <f>""</f>
        <v/>
      </c>
      <c r="F425" s="1" t="str">
        <f>""</f>
        <v/>
      </c>
      <c r="G425" s="1" t="str">
        <f>""</f>
        <v/>
      </c>
      <c r="H425" s="1" t="str">
        <f>""</f>
        <v/>
      </c>
      <c r="I425" s="1" t="str">
        <f>""</f>
        <v/>
      </c>
      <c r="J425" s="1" t="str">
        <f>""</f>
        <v/>
      </c>
      <c r="K425" s="1" t="str">
        <f>""</f>
        <v/>
      </c>
      <c r="L425" s="1" t="str">
        <f t="shared" si="130"/>
        <v>R</v>
      </c>
      <c r="M425" s="1" t="str">
        <f>""</f>
        <v/>
      </c>
      <c r="N425" s="1" t="str">
        <f t="shared" si="131"/>
        <v>Y</v>
      </c>
      <c r="O425" s="1" t="str">
        <f t="shared" si="133"/>
        <v>Y</v>
      </c>
      <c r="P425" s="1" t="str">
        <f t="shared" si="128"/>
        <v>Y</v>
      </c>
      <c r="Q425" s="1" t="str">
        <f t="shared" si="135"/>
        <v>A</v>
      </c>
    </row>
    <row r="426" spans="1:17" x14ac:dyDescent="0.3">
      <c r="A426" s="1" t="str">
        <f t="shared" si="134"/>
        <v>C</v>
      </c>
      <c r="B426" s="1" t="str">
        <f>"C465001H"</f>
        <v>C465001H</v>
      </c>
      <c r="C426" s="1" t="str">
        <f>"헬리코박터 항체검사 양성"</f>
        <v>헬리코박터 항체검사 양성</v>
      </c>
      <c r="D426" s="1" t="s">
        <v>108</v>
      </c>
      <c r="E426" s="1" t="str">
        <f>""</f>
        <v/>
      </c>
      <c r="F426" s="1" t="str">
        <f>""</f>
        <v/>
      </c>
      <c r="G426" s="1" t="str">
        <f>""</f>
        <v/>
      </c>
      <c r="H426" s="1" t="str">
        <f>""</f>
        <v/>
      </c>
      <c r="I426" s="1" t="str">
        <f>""</f>
        <v/>
      </c>
      <c r="J426" s="1" t="str">
        <f>""</f>
        <v/>
      </c>
      <c r="K426" s="1" t="str">
        <f>""</f>
        <v/>
      </c>
      <c r="L426" s="1" t="str">
        <f t="shared" si="130"/>
        <v>R</v>
      </c>
      <c r="M426" s="1" t="str">
        <f>""</f>
        <v/>
      </c>
      <c r="N426" s="1" t="str">
        <f t="shared" si="131"/>
        <v>Y</v>
      </c>
      <c r="O426" s="1" t="str">
        <f t="shared" si="133"/>
        <v>Y</v>
      </c>
      <c r="P426" s="1" t="str">
        <f t="shared" si="128"/>
        <v>Y</v>
      </c>
      <c r="Q426" s="1" t="str">
        <f t="shared" si="135"/>
        <v>A</v>
      </c>
    </row>
    <row r="427" spans="1:17" x14ac:dyDescent="0.3">
      <c r="A427" s="1" t="str">
        <f t="shared" si="134"/>
        <v>C</v>
      </c>
      <c r="B427" s="1" t="str">
        <f>"DMD304"</f>
        <v>DMD304</v>
      </c>
      <c r="C427" s="1" t="str">
        <f>"당뇨병 의심"</f>
        <v>당뇨병 의심</v>
      </c>
      <c r="D427" s="1" t="str">
        <f>"공복혈당 확인. 내과 진료 권고"</f>
        <v>공복혈당 확인. 내과 진료 권고</v>
      </c>
      <c r="E427" s="1" t="str">
        <f>"WOK02"</f>
        <v>WOK02</v>
      </c>
      <c r="F427" s="1" t="str">
        <f>"PTM04"</f>
        <v>PTM04</v>
      </c>
      <c r="G427" s="1" t="str">
        <f>"DISE"</f>
        <v>DISE</v>
      </c>
      <c r="H427" s="1" t="str">
        <f>"REL07"</f>
        <v>REL07</v>
      </c>
      <c r="I427" s="1" t="str">
        <f>""</f>
        <v/>
      </c>
      <c r="J427" s="1" t="str">
        <f>"C06C"</f>
        <v>C06C</v>
      </c>
      <c r="K427" s="1" t="str">
        <f>"C06C"</f>
        <v>C06C</v>
      </c>
      <c r="L427" s="1" t="str">
        <f t="shared" si="130"/>
        <v>R</v>
      </c>
      <c r="M427" s="1" t="str">
        <f>"T03"</f>
        <v>T03</v>
      </c>
      <c r="N427" s="1" t="str">
        <f t="shared" si="131"/>
        <v>Y</v>
      </c>
      <c r="O427" s="1" t="str">
        <f t="shared" si="133"/>
        <v>Y</v>
      </c>
      <c r="P427" s="1" t="str">
        <f t="shared" si="128"/>
        <v>Y</v>
      </c>
      <c r="Q427" s="1" t="str">
        <f t="shared" si="135"/>
        <v>A</v>
      </c>
    </row>
    <row r="428" spans="1:17" x14ac:dyDescent="0.3">
      <c r="A428" s="1" t="str">
        <f t="shared" si="134"/>
        <v>C</v>
      </c>
      <c r="B428" s="1" t="str">
        <f>"DMD304BB"</f>
        <v>DMD304BB</v>
      </c>
      <c r="C428" s="1" t="str">
        <f>"당뇨병 의심"</f>
        <v>당뇨병 의심</v>
      </c>
      <c r="D428" s="1" t="str">
        <f>"혈당 상승하여 당뇨병 의심됩니다. 진료 통하여 정밀검사 요함."</f>
        <v>혈당 상승하여 당뇨병 의심됩니다. 진료 통하여 정밀검사 요함.</v>
      </c>
      <c r="E428" s="1" t="str">
        <f>"WOK02"</f>
        <v>WOK02</v>
      </c>
      <c r="F428" s="1" t="str">
        <f>"PTM04"</f>
        <v>PTM04</v>
      </c>
      <c r="G428" s="1" t="str">
        <f>"DISE"</f>
        <v>DISE</v>
      </c>
      <c r="H428" s="1" t="str">
        <f>"REL07"</f>
        <v>REL07</v>
      </c>
      <c r="I428" s="1" t="str">
        <f>""</f>
        <v/>
      </c>
      <c r="J428" s="1" t="str">
        <f>"C06C"</f>
        <v>C06C</v>
      </c>
      <c r="K428" s="1" t="str">
        <f>"C06C"</f>
        <v>C06C</v>
      </c>
      <c r="L428" s="1" t="str">
        <f t="shared" si="130"/>
        <v>R</v>
      </c>
      <c r="M428" s="1" t="str">
        <f>"T03"</f>
        <v>T03</v>
      </c>
      <c r="N428" s="1" t="str">
        <f t="shared" si="131"/>
        <v>Y</v>
      </c>
      <c r="O428" s="1" t="str">
        <f t="shared" si="133"/>
        <v>Y</v>
      </c>
      <c r="P428" s="1" t="str">
        <f t="shared" si="128"/>
        <v>Y</v>
      </c>
      <c r="Q428" s="1" t="str">
        <f t="shared" si="135"/>
        <v>A</v>
      </c>
    </row>
    <row r="429" spans="1:17" x14ac:dyDescent="0.3">
      <c r="A429" s="1" t="str">
        <f t="shared" si="134"/>
        <v>C</v>
      </c>
      <c r="B429" s="1" t="str">
        <f>"EKG414"</f>
        <v>EKG414</v>
      </c>
      <c r="C429" s="1" t="str">
        <f>"인공심장 박동기 부착상태"</f>
        <v>인공심장 박동기 부착상태</v>
      </c>
      <c r="D429" s="1" t="str">
        <f>"정기적으로 심장내과에 내원하여 추적관찰 바랍니다."</f>
        <v>정기적으로 심장내과에 내원하여 추적관찰 바랍니다.</v>
      </c>
      <c r="E429" s="1" t="str">
        <f>"WOK02"</f>
        <v>WOK02</v>
      </c>
      <c r="F429" s="1" t="str">
        <f>"PTM03"</f>
        <v>PTM03</v>
      </c>
      <c r="G429" s="1" t="str">
        <f>"DISI"</f>
        <v>DISI</v>
      </c>
      <c r="H429" s="1" t="str">
        <f>"REL06"</f>
        <v>REL06</v>
      </c>
      <c r="I429" s="1" t="str">
        <f>""</f>
        <v/>
      </c>
      <c r="J429" s="1" t="str">
        <f>"C39C"</f>
        <v>C39C</v>
      </c>
      <c r="K429" s="1" t="str">
        <f>"C39C"</f>
        <v>C39C</v>
      </c>
      <c r="L429" s="1" t="str">
        <f t="shared" si="130"/>
        <v>R</v>
      </c>
      <c r="M429" s="1" t="str">
        <f>"T03"</f>
        <v>T03</v>
      </c>
      <c r="N429" s="1" t="str">
        <f t="shared" si="131"/>
        <v>Y</v>
      </c>
      <c r="O429" s="1" t="str">
        <f t="shared" si="133"/>
        <v>Y</v>
      </c>
      <c r="P429" s="1" t="str">
        <f t="shared" si="128"/>
        <v>Y</v>
      </c>
      <c r="Q429" s="1" t="str">
        <f t="shared" si="135"/>
        <v>A</v>
      </c>
    </row>
    <row r="430" spans="1:17" x14ac:dyDescent="0.3">
      <c r="A430" s="1" t="str">
        <f t="shared" si="134"/>
        <v>C</v>
      </c>
      <c r="B430" s="1" t="str">
        <f>"GNPRTU03"</f>
        <v>GNPRTU03</v>
      </c>
      <c r="C430" s="1" t="str">
        <f>"단백뇨주의"</f>
        <v>단백뇨주의</v>
      </c>
      <c r="D430" s="1" t="s">
        <v>109</v>
      </c>
      <c r="E430" s="1" t="str">
        <f>"WOK02"</f>
        <v>WOK02</v>
      </c>
      <c r="F430" s="1" t="str">
        <f>"PTM03"</f>
        <v>PTM03</v>
      </c>
      <c r="G430" s="1" t="str">
        <f>"DISN"</f>
        <v>DISN</v>
      </c>
      <c r="H430" s="1" t="str">
        <f>"REL08"</f>
        <v>REL08</v>
      </c>
      <c r="I430" s="1" t="str">
        <f>""</f>
        <v/>
      </c>
      <c r="J430" s="1" t="str">
        <f>"C07C"</f>
        <v>C07C</v>
      </c>
      <c r="K430" s="1" t="str">
        <f>"C07C"</f>
        <v>C07C</v>
      </c>
      <c r="L430" s="1" t="str">
        <f t="shared" si="130"/>
        <v>R</v>
      </c>
      <c r="M430" s="1" t="str">
        <f>"T05"</f>
        <v>T05</v>
      </c>
      <c r="N430" s="1" t="str">
        <f t="shared" si="131"/>
        <v>Y</v>
      </c>
      <c r="O430" s="1" t="str">
        <f t="shared" si="133"/>
        <v>Y</v>
      </c>
      <c r="P430" s="1" t="str">
        <f t="shared" si="128"/>
        <v>Y</v>
      </c>
      <c r="Q430" s="1" t="str">
        <f t="shared" si="135"/>
        <v>A</v>
      </c>
    </row>
    <row r="431" spans="1:17" x14ac:dyDescent="0.3">
      <c r="A431" s="1" t="str">
        <f t="shared" si="134"/>
        <v>C</v>
      </c>
      <c r="B431" s="1" t="str">
        <f>"GNPRTU04"</f>
        <v>GNPRTU04</v>
      </c>
      <c r="C431" s="1" t="str">
        <f>"신질환 의심"</f>
        <v>신질환 의심</v>
      </c>
      <c r="D431" s="1" t="s">
        <v>110</v>
      </c>
      <c r="E431" s="1" t="str">
        <f>"WOK02"</f>
        <v>WOK02</v>
      </c>
      <c r="F431" s="1" t="str">
        <f>"PTM03"</f>
        <v>PTM03</v>
      </c>
      <c r="G431" s="1" t="str">
        <f>"DISN"</f>
        <v>DISN</v>
      </c>
      <c r="H431" s="1" t="str">
        <f>"REL08"</f>
        <v>REL08</v>
      </c>
      <c r="I431" s="1" t="str">
        <f>""</f>
        <v/>
      </c>
      <c r="J431" s="1" t="str">
        <f>"C07C"</f>
        <v>C07C</v>
      </c>
      <c r="K431" s="1" t="str">
        <f>"C07C"</f>
        <v>C07C</v>
      </c>
      <c r="L431" s="1" t="str">
        <f t="shared" si="130"/>
        <v>R</v>
      </c>
      <c r="M431" s="1" t="str">
        <f>"T05"</f>
        <v>T05</v>
      </c>
      <c r="N431" s="1" t="str">
        <f t="shared" si="131"/>
        <v>Y</v>
      </c>
      <c r="O431" s="1" t="str">
        <f t="shared" si="133"/>
        <v>Y</v>
      </c>
      <c r="P431" s="1" t="str">
        <f t="shared" si="128"/>
        <v>Y</v>
      </c>
      <c r="Q431" s="1" t="str">
        <f t="shared" si="135"/>
        <v>A</v>
      </c>
    </row>
    <row r="432" spans="1:17" x14ac:dyDescent="0.3">
      <c r="A432" s="1" t="str">
        <f t="shared" si="134"/>
        <v>C</v>
      </c>
      <c r="B432" s="1" t="str">
        <f>"HIVJA01"</f>
        <v>HIVJA01</v>
      </c>
      <c r="C432" s="1" t="str">
        <f>"음성(에이즈 검사)"</f>
        <v>음성(에이즈 검사)</v>
      </c>
      <c r="D432" s="1" t="str">
        <f>"검사결과 음성입니다."</f>
        <v>검사결과 음성입니다.</v>
      </c>
      <c r="E432" s="1" t="str">
        <f>""</f>
        <v/>
      </c>
      <c r="F432" s="1" t="str">
        <f>""</f>
        <v/>
      </c>
      <c r="G432" s="1" t="str">
        <f>""</f>
        <v/>
      </c>
      <c r="H432" s="1" t="str">
        <f>""</f>
        <v/>
      </c>
      <c r="I432" s="1" t="str">
        <f>""</f>
        <v/>
      </c>
      <c r="J432" s="1" t="str">
        <f>""</f>
        <v/>
      </c>
      <c r="K432" s="1" t="str">
        <f>""</f>
        <v/>
      </c>
      <c r="L432" s="1" t="str">
        <f t="shared" ref="L432:L455" si="136">"R"</f>
        <v>R</v>
      </c>
      <c r="M432" s="1" t="str">
        <f>""</f>
        <v/>
      </c>
      <c r="N432" s="1" t="str">
        <f t="shared" ref="N432:N453" si="137">"Y"</f>
        <v>Y</v>
      </c>
      <c r="O432" s="1" t="str">
        <f t="shared" si="133"/>
        <v>Y</v>
      </c>
      <c r="P432" s="1" t="str">
        <f t="shared" si="128"/>
        <v>Y</v>
      </c>
      <c r="Q432" s="1" t="str">
        <f t="shared" si="135"/>
        <v>A</v>
      </c>
    </row>
    <row r="433" spans="1:17" x14ac:dyDescent="0.3">
      <c r="A433" s="1" t="str">
        <f t="shared" si="134"/>
        <v>C</v>
      </c>
      <c r="B433" s="1" t="str">
        <f>"HIVJC01"</f>
        <v>HIVJC01</v>
      </c>
      <c r="C433" s="1" t="str">
        <f>"양성(에이즈 의심)"</f>
        <v>양성(에이즈 의심)</v>
      </c>
      <c r="D433" s="1" t="str">
        <f>"에이즈검사 결과 1차 검사에서 양성반응이 나타납니다. 이 검사는 에이즈에 감염되지 않은 정상인에서도 양성으로 나올 수 있으므로 감염 여부를 확인하기 위해서는 2차검사가 필요합니다."</f>
        <v>에이즈검사 결과 1차 검사에서 양성반응이 나타납니다. 이 검사는 에이즈에 감염되지 않은 정상인에서도 양성으로 나올 수 있으므로 감염 여부를 확인하기 위해서는 2차검사가 필요합니다.</v>
      </c>
      <c r="E433" s="1" t="str">
        <f>""</f>
        <v/>
      </c>
      <c r="F433" s="1" t="str">
        <f>""</f>
        <v/>
      </c>
      <c r="G433" s="1" t="str">
        <f>""</f>
        <v/>
      </c>
      <c r="H433" s="1" t="str">
        <f>""</f>
        <v/>
      </c>
      <c r="I433" s="1" t="str">
        <f>""</f>
        <v/>
      </c>
      <c r="J433" s="1" t="str">
        <f>""</f>
        <v/>
      </c>
      <c r="K433" s="1" t="str">
        <f>""</f>
        <v/>
      </c>
      <c r="L433" s="1" t="str">
        <f t="shared" si="136"/>
        <v>R</v>
      </c>
      <c r="M433" s="1" t="str">
        <f>""</f>
        <v/>
      </c>
      <c r="N433" s="1" t="str">
        <f t="shared" si="137"/>
        <v>Y</v>
      </c>
      <c r="O433" s="1" t="str">
        <f t="shared" si="133"/>
        <v>Y</v>
      </c>
      <c r="P433" s="1" t="str">
        <f t="shared" si="128"/>
        <v>Y</v>
      </c>
      <c r="Q433" s="1" t="str">
        <f t="shared" si="135"/>
        <v>A</v>
      </c>
    </row>
    <row r="434" spans="1:17" x14ac:dyDescent="0.3">
      <c r="A434" s="1" t="str">
        <f t="shared" si="134"/>
        <v>C</v>
      </c>
      <c r="B434" s="1" t="str">
        <f>"HPT301"</f>
        <v>HPT301</v>
      </c>
      <c r="C434" s="1" t="str">
        <f>"고혈압 주의"</f>
        <v>고혈압 주의</v>
      </c>
      <c r="D434" s="1" t="s">
        <v>111</v>
      </c>
      <c r="E434" s="1" t="str">
        <f t="shared" ref="E434:E453" si="138">"WOK02"</f>
        <v>WOK02</v>
      </c>
      <c r="F434" s="1" t="str">
        <f>"PTM01"</f>
        <v>PTM01</v>
      </c>
      <c r="G434" s="1" t="str">
        <f>"DISI"</f>
        <v>DISI</v>
      </c>
      <c r="H434" s="1" t="str">
        <f>"REL03"</f>
        <v>REL03</v>
      </c>
      <c r="I434" s="1" t="str">
        <f>""</f>
        <v/>
      </c>
      <c r="J434" s="1" t="str">
        <f>"C03C"</f>
        <v>C03C</v>
      </c>
      <c r="K434" s="1" t="str">
        <f>"C03C"</f>
        <v>C03C</v>
      </c>
      <c r="L434" s="1" t="str">
        <f t="shared" si="136"/>
        <v>R</v>
      </c>
      <c r="M434" s="1" t="str">
        <f>"T03"</f>
        <v>T03</v>
      </c>
      <c r="N434" s="1" t="str">
        <f t="shared" si="137"/>
        <v>Y</v>
      </c>
      <c r="O434" s="1" t="str">
        <f t="shared" si="133"/>
        <v>Y</v>
      </c>
      <c r="P434" s="1" t="str">
        <f t="shared" si="128"/>
        <v>Y</v>
      </c>
      <c r="Q434" s="1" t="str">
        <f t="shared" si="135"/>
        <v>A</v>
      </c>
    </row>
    <row r="435" spans="1:17" x14ac:dyDescent="0.3">
      <c r="A435" s="1" t="str">
        <f t="shared" si="134"/>
        <v>C</v>
      </c>
      <c r="B435" s="1" t="str">
        <f>"IL01AAC201"</f>
        <v>IL01AAC201</v>
      </c>
      <c r="C435" s="1" t="str">
        <f>"경미한 청력저하"</f>
        <v>경미한 청력저하</v>
      </c>
      <c r="D435" s="1" t="s">
        <v>112</v>
      </c>
      <c r="E435" s="1" t="str">
        <f t="shared" si="138"/>
        <v>WOK02</v>
      </c>
      <c r="F435" s="1" t="str">
        <f>"PTM01"</f>
        <v>PTM01</v>
      </c>
      <c r="G435" s="1" t="str">
        <f>"DISH"</f>
        <v>DISH</v>
      </c>
      <c r="H435" s="1" t="str">
        <f>"REL19"</f>
        <v>REL19</v>
      </c>
      <c r="I435" s="1" t="str">
        <f>""</f>
        <v/>
      </c>
      <c r="J435" s="1" t="str">
        <f>"C55C"</f>
        <v>C55C</v>
      </c>
      <c r="K435" s="1" t="str">
        <f>"C55C"</f>
        <v>C55C</v>
      </c>
      <c r="L435" s="1" t="str">
        <f t="shared" si="136"/>
        <v>R</v>
      </c>
      <c r="M435" s="1" t="str">
        <f>"T10"</f>
        <v>T10</v>
      </c>
      <c r="N435" s="1" t="str">
        <f t="shared" si="137"/>
        <v>Y</v>
      </c>
      <c r="O435" s="1" t="str">
        <f t="shared" si="133"/>
        <v>Y</v>
      </c>
      <c r="P435" s="1" t="str">
        <f t="shared" si="128"/>
        <v>Y</v>
      </c>
      <c r="Q435" s="1" t="str">
        <f t="shared" si="135"/>
        <v>A</v>
      </c>
    </row>
    <row r="436" spans="1:17" x14ac:dyDescent="0.3">
      <c r="A436" s="1" t="str">
        <f t="shared" si="134"/>
        <v>C</v>
      </c>
      <c r="B436" s="1" t="str">
        <f>"IL01ANE301"</f>
        <v>IL01ANE301</v>
      </c>
      <c r="C436" s="1" t="str">
        <f>"빈혈주의"</f>
        <v>빈혈주의</v>
      </c>
      <c r="D436" s="1" t="str">
        <f>"빈혈 소견이 보입니다. 철분제재와 영양을 고루 섭취하시고 1개월 후 혈액검사를 다시 받아보십시오."</f>
        <v>빈혈 소견이 보입니다. 철분제재와 영양을 고루 섭취하시고 1개월 후 혈액검사를 다시 받아보십시오.</v>
      </c>
      <c r="E436" s="1" t="str">
        <f t="shared" si="138"/>
        <v>WOK02</v>
      </c>
      <c r="F436" s="1" t="str">
        <f>"PTM01"</f>
        <v>PTM01</v>
      </c>
      <c r="G436" s="1" t="str">
        <f>"DISD"</f>
        <v>DISD</v>
      </c>
      <c r="H436" s="1" t="str">
        <f>"REL12"</f>
        <v>REL12</v>
      </c>
      <c r="I436" s="1" t="str">
        <f>""</f>
        <v/>
      </c>
      <c r="J436" s="1" t="str">
        <f>"C08C"</f>
        <v>C08C</v>
      </c>
      <c r="K436" s="1" t="str">
        <f>"C08C"</f>
        <v>C08C</v>
      </c>
      <c r="L436" s="1" t="str">
        <f t="shared" si="136"/>
        <v>R</v>
      </c>
      <c r="M436" s="1" t="str">
        <f>"T01"</f>
        <v>T01</v>
      </c>
      <c r="N436" s="1" t="str">
        <f t="shared" si="137"/>
        <v>Y</v>
      </c>
      <c r="O436" s="1" t="str">
        <f t="shared" si="133"/>
        <v>Y</v>
      </c>
      <c r="P436" s="1" t="str">
        <f t="shared" si="128"/>
        <v>Y</v>
      </c>
      <c r="Q436" s="1" t="str">
        <f t="shared" si="135"/>
        <v>A</v>
      </c>
    </row>
    <row r="437" spans="1:17" x14ac:dyDescent="0.3">
      <c r="A437" s="1" t="str">
        <f t="shared" si="134"/>
        <v>C</v>
      </c>
      <c r="B437" s="1" t="str">
        <f>"IL01ANE302"</f>
        <v>IL01ANE302</v>
      </c>
      <c r="C437" s="1" t="str">
        <f>"빈혈주의"</f>
        <v>빈혈주의</v>
      </c>
      <c r="D437" s="1" t="str">
        <f>"빈혈 소견이 보입니다. 일시적인 생리적 현상일 수도 있으나 체내 잠복 출혈에 의한 것일 수도 있습니다. 1개월 후 혈액검사를 다시 받아보십시오."</f>
        <v>빈혈 소견이 보입니다. 일시적인 생리적 현상일 수도 있으나 체내 잠복 출혈에 의한 것일 수도 있습니다. 1개월 후 혈액검사를 다시 받아보십시오.</v>
      </c>
      <c r="E437" s="1" t="str">
        <f t="shared" si="138"/>
        <v>WOK02</v>
      </c>
      <c r="F437" s="1" t="str">
        <f>"PTM01"</f>
        <v>PTM01</v>
      </c>
      <c r="G437" s="1" t="str">
        <f>"DISD"</f>
        <v>DISD</v>
      </c>
      <c r="H437" s="1" t="str">
        <f>"REL12"</f>
        <v>REL12</v>
      </c>
      <c r="I437" s="1" t="str">
        <f>""</f>
        <v/>
      </c>
      <c r="J437" s="1" t="str">
        <f>"C08C"</f>
        <v>C08C</v>
      </c>
      <c r="K437" s="1" t="str">
        <f>"C08C"</f>
        <v>C08C</v>
      </c>
      <c r="L437" s="1" t="str">
        <f t="shared" si="136"/>
        <v>R</v>
      </c>
      <c r="M437" s="1" t="str">
        <f>"T01"</f>
        <v>T01</v>
      </c>
      <c r="N437" s="1" t="str">
        <f t="shared" si="137"/>
        <v>Y</v>
      </c>
      <c r="O437" s="1" t="str">
        <f t="shared" si="133"/>
        <v>Y</v>
      </c>
      <c r="P437" s="1" t="str">
        <f t="shared" si="128"/>
        <v>Y</v>
      </c>
      <c r="Q437" s="1" t="str">
        <f t="shared" si="135"/>
        <v>A</v>
      </c>
    </row>
    <row r="438" spans="1:17" x14ac:dyDescent="0.3">
      <c r="A438" s="1" t="str">
        <f t="shared" si="134"/>
        <v>C</v>
      </c>
      <c r="B438" s="1" t="str">
        <f>"IL01DMD304"</f>
        <v>IL01DMD304</v>
      </c>
      <c r="C438" s="1" t="str">
        <f>"당뇨병의심"</f>
        <v>당뇨병의심</v>
      </c>
      <c r="D438" s="1" t="str">
        <f>"당뇨병이 의심됩니다. 내과나 가정의학과에서 진료를 받으세요."</f>
        <v>당뇨병이 의심됩니다. 내과나 가정의학과에서 진료를 받으세요.</v>
      </c>
      <c r="E438" s="1" t="str">
        <f t="shared" si="138"/>
        <v>WOK02</v>
      </c>
      <c r="F438" s="1" t="str">
        <f>"PTM04"</f>
        <v>PTM04</v>
      </c>
      <c r="G438" s="1" t="str">
        <f>"DISE"</f>
        <v>DISE</v>
      </c>
      <c r="H438" s="1" t="str">
        <f>"REL07"</f>
        <v>REL07</v>
      </c>
      <c r="I438" s="1" t="str">
        <f>""</f>
        <v/>
      </c>
      <c r="J438" s="1" t="str">
        <f>"C06C"</f>
        <v>C06C</v>
      </c>
      <c r="K438" s="1" t="str">
        <f>"C06C"</f>
        <v>C06C</v>
      </c>
      <c r="L438" s="1" t="str">
        <f t="shared" si="136"/>
        <v>R</v>
      </c>
      <c r="M438" s="1" t="str">
        <f>"T03"</f>
        <v>T03</v>
      </c>
      <c r="N438" s="1" t="str">
        <f t="shared" si="137"/>
        <v>Y</v>
      </c>
      <c r="O438" s="1" t="str">
        <f t="shared" si="133"/>
        <v>Y</v>
      </c>
      <c r="P438" s="1" t="str">
        <f t="shared" si="128"/>
        <v>Y</v>
      </c>
      <c r="Q438" s="1" t="str">
        <f t="shared" si="135"/>
        <v>A</v>
      </c>
    </row>
    <row r="439" spans="1:17" x14ac:dyDescent="0.3">
      <c r="A439" s="1" t="str">
        <f t="shared" si="134"/>
        <v>C</v>
      </c>
      <c r="B439" s="1" t="str">
        <f>"IL01HEP103"</f>
        <v>IL01HEP103</v>
      </c>
      <c r="C439" s="1" t="str">
        <f>"간기능 저하"</f>
        <v>간기능 저하</v>
      </c>
      <c r="D439" s="1" t="s">
        <v>80</v>
      </c>
      <c r="E439" s="1" t="str">
        <f t="shared" si="138"/>
        <v>WOK02</v>
      </c>
      <c r="F439" s="1" t="str">
        <f>"PTM00"</f>
        <v>PTM00</v>
      </c>
      <c r="G439" s="1" t="str">
        <f>"DISK"</f>
        <v>DISK</v>
      </c>
      <c r="H439" s="1" t="str">
        <f>"REL05"</f>
        <v>REL05</v>
      </c>
      <c r="I439" s="1" t="str">
        <f>""</f>
        <v/>
      </c>
      <c r="J439" s="1" t="str">
        <f>"C41C"</f>
        <v>C41C</v>
      </c>
      <c r="K439" s="1" t="str">
        <f>"C41C"</f>
        <v>C41C</v>
      </c>
      <c r="L439" s="1" t="str">
        <f t="shared" si="136"/>
        <v>R</v>
      </c>
      <c r="M439" s="1" t="str">
        <f>"T02"</f>
        <v>T02</v>
      </c>
      <c r="N439" s="1" t="str">
        <f t="shared" si="137"/>
        <v>Y</v>
      </c>
      <c r="O439" s="1" t="str">
        <f t="shared" si="133"/>
        <v>Y</v>
      </c>
      <c r="P439" s="1" t="str">
        <f t="shared" si="128"/>
        <v>Y</v>
      </c>
      <c r="Q439" s="1" t="str">
        <f t="shared" si="135"/>
        <v>A</v>
      </c>
    </row>
    <row r="440" spans="1:17" x14ac:dyDescent="0.3">
      <c r="A440" s="1" t="str">
        <f t="shared" si="134"/>
        <v>C</v>
      </c>
      <c r="B440" s="1" t="str">
        <f>"IL01HEP106"</f>
        <v>IL01HEP106</v>
      </c>
      <c r="C440" s="1" t="str">
        <f>"간기능 저하"</f>
        <v>간기능 저하</v>
      </c>
      <c r="D440" s="1" t="s">
        <v>113</v>
      </c>
      <c r="E440" s="1" t="str">
        <f t="shared" si="138"/>
        <v>WOK02</v>
      </c>
      <c r="F440" s="1" t="str">
        <f>"PTM033"</f>
        <v>PTM033</v>
      </c>
      <c r="G440" s="1" t="str">
        <f>"DISK"</f>
        <v>DISK</v>
      </c>
      <c r="H440" s="1" t="str">
        <f>"REL05"</f>
        <v>REL05</v>
      </c>
      <c r="I440" s="1" t="str">
        <f>""</f>
        <v/>
      </c>
      <c r="J440" s="1" t="str">
        <f>"C41C"</f>
        <v>C41C</v>
      </c>
      <c r="K440" s="1" t="str">
        <f>"C41C"</f>
        <v>C41C</v>
      </c>
      <c r="L440" s="1" t="str">
        <f t="shared" si="136"/>
        <v>R</v>
      </c>
      <c r="M440" s="1" t="str">
        <f>"T02"</f>
        <v>T02</v>
      </c>
      <c r="N440" s="1" t="str">
        <f t="shared" si="137"/>
        <v>Y</v>
      </c>
      <c r="O440" s="1" t="str">
        <f t="shared" si="133"/>
        <v>Y</v>
      </c>
      <c r="P440" s="1" t="str">
        <f t="shared" si="128"/>
        <v>Y</v>
      </c>
      <c r="Q440" s="1" t="str">
        <f t="shared" si="135"/>
        <v>A</v>
      </c>
    </row>
    <row r="441" spans="1:17" x14ac:dyDescent="0.3">
      <c r="A441" s="1" t="str">
        <f t="shared" si="134"/>
        <v>C</v>
      </c>
      <c r="B441" s="1" t="str">
        <f>"IL01HPT301"</f>
        <v>IL01HPT301</v>
      </c>
      <c r="C441" s="1" t="str">
        <f>"고혈압 주의"</f>
        <v>고혈압 주의</v>
      </c>
      <c r="D441" s="1" t="s">
        <v>114</v>
      </c>
      <c r="E441" s="1" t="str">
        <f t="shared" si="138"/>
        <v>WOK02</v>
      </c>
      <c r="F441" s="1" t="str">
        <f>"PTM01"</f>
        <v>PTM01</v>
      </c>
      <c r="G441" s="1" t="str">
        <f>"DISI"</f>
        <v>DISI</v>
      </c>
      <c r="H441" s="1" t="str">
        <f>"REL03"</f>
        <v>REL03</v>
      </c>
      <c r="I441" s="1" t="str">
        <f>""</f>
        <v/>
      </c>
      <c r="J441" s="1" t="str">
        <f>"C03C"</f>
        <v>C03C</v>
      </c>
      <c r="K441" s="1" t="str">
        <f>"C03C"</f>
        <v>C03C</v>
      </c>
      <c r="L441" s="1" t="str">
        <f t="shared" si="136"/>
        <v>R</v>
      </c>
      <c r="M441" s="1" t="str">
        <f>"T03"</f>
        <v>T03</v>
      </c>
      <c r="N441" s="1" t="str">
        <f t="shared" si="137"/>
        <v>Y</v>
      </c>
      <c r="O441" s="1" t="str">
        <f t="shared" si="133"/>
        <v>Y</v>
      </c>
      <c r="P441" s="1" t="str">
        <f t="shared" si="128"/>
        <v>Y</v>
      </c>
      <c r="Q441" s="1" t="str">
        <f t="shared" si="135"/>
        <v>A</v>
      </c>
    </row>
    <row r="442" spans="1:17" x14ac:dyDescent="0.3">
      <c r="A442" s="1" t="str">
        <f t="shared" si="134"/>
        <v>C</v>
      </c>
      <c r="B442" s="1" t="str">
        <f>"IL01J0040"</f>
        <v>IL01J0040</v>
      </c>
      <c r="C442" s="1" t="str">
        <f>"간기능 저하"</f>
        <v>간기능 저하</v>
      </c>
      <c r="D442" s="1" t="s">
        <v>115</v>
      </c>
      <c r="E442" s="1" t="str">
        <f t="shared" si="138"/>
        <v>WOK02</v>
      </c>
      <c r="F442" s="1" t="str">
        <f>"PTM033"</f>
        <v>PTM033</v>
      </c>
      <c r="G442" s="1" t="str">
        <f>"DISK"</f>
        <v>DISK</v>
      </c>
      <c r="H442" s="1" t="str">
        <f>"REL05"</f>
        <v>REL05</v>
      </c>
      <c r="I442" s="1" t="str">
        <f>""</f>
        <v/>
      </c>
      <c r="J442" s="1" t="str">
        <f>"C05C"</f>
        <v>C05C</v>
      </c>
      <c r="K442" s="1" t="str">
        <f>"C05C"</f>
        <v>C05C</v>
      </c>
      <c r="L442" s="1" t="str">
        <f t="shared" si="136"/>
        <v>R</v>
      </c>
      <c r="M442" s="1" t="str">
        <f>"T02"</f>
        <v>T02</v>
      </c>
      <c r="N442" s="1" t="str">
        <f t="shared" si="137"/>
        <v>Y</v>
      </c>
      <c r="O442" s="1" t="str">
        <f t="shared" si="133"/>
        <v>Y</v>
      </c>
      <c r="P442" s="1" t="str">
        <f t="shared" si="128"/>
        <v>Y</v>
      </c>
      <c r="Q442" s="1" t="str">
        <f t="shared" si="135"/>
        <v>A</v>
      </c>
    </row>
    <row r="443" spans="1:17" x14ac:dyDescent="0.3">
      <c r="A443" s="1" t="str">
        <f t="shared" si="134"/>
        <v>C</v>
      </c>
      <c r="B443" s="1" t="str">
        <f>"IL01J0293"</f>
        <v>IL01J0293</v>
      </c>
      <c r="C443" s="1" t="str">
        <f>"혈중 크레아티닌 상승"</f>
        <v>혈중 크레아티닌 상승</v>
      </c>
      <c r="D443" s="1" t="str">
        <f>"추적검사 및 내과진료 권고"</f>
        <v>추적검사 및 내과진료 권고</v>
      </c>
      <c r="E443" s="1" t="str">
        <f t="shared" si="138"/>
        <v>WOK02</v>
      </c>
      <c r="F443" s="1" t="str">
        <f>"PTM01"</f>
        <v>PTM01</v>
      </c>
      <c r="G443" s="1" t="str">
        <f>"DISN"</f>
        <v>DISN</v>
      </c>
      <c r="H443" s="1" t="str">
        <f>"REL08"</f>
        <v>REL08</v>
      </c>
      <c r="I443" s="1" t="str">
        <f>""</f>
        <v/>
      </c>
      <c r="J443" s="1" t="str">
        <f>"C07C"</f>
        <v>C07C</v>
      </c>
      <c r="K443" s="1" t="str">
        <f>"C07C"</f>
        <v>C07C</v>
      </c>
      <c r="L443" s="1" t="str">
        <f t="shared" si="136"/>
        <v>R</v>
      </c>
      <c r="M443" s="1" t="str">
        <f>"T05"</f>
        <v>T05</v>
      </c>
      <c r="N443" s="1" t="str">
        <f t="shared" si="137"/>
        <v>Y</v>
      </c>
      <c r="O443" s="1" t="str">
        <f t="shared" si="133"/>
        <v>Y</v>
      </c>
      <c r="P443" s="1" t="str">
        <f t="shared" si="128"/>
        <v>Y</v>
      </c>
      <c r="Q443" s="1" t="str">
        <f t="shared" si="135"/>
        <v>A</v>
      </c>
    </row>
    <row r="444" spans="1:17" x14ac:dyDescent="0.3">
      <c r="A444" s="1" t="str">
        <f t="shared" si="134"/>
        <v>C</v>
      </c>
      <c r="B444" s="1" t="str">
        <f>"IL01J0329"</f>
        <v>IL01J0329</v>
      </c>
      <c r="C444" s="1" t="str">
        <f>"신장기능 저하"</f>
        <v>신장기능 저하</v>
      </c>
      <c r="D444" s="1" t="s">
        <v>116</v>
      </c>
      <c r="E444" s="1" t="str">
        <f t="shared" si="138"/>
        <v>WOK02</v>
      </c>
      <c r="F444" s="1" t="str">
        <f>"PTM03"</f>
        <v>PTM03</v>
      </c>
      <c r="G444" s="1" t="str">
        <f>"DISN"</f>
        <v>DISN</v>
      </c>
      <c r="H444" s="1" t="str">
        <f>"REL08"</f>
        <v>REL08</v>
      </c>
      <c r="I444" s="1" t="str">
        <f>""</f>
        <v/>
      </c>
      <c r="J444" s="1" t="str">
        <f>"C07C"</f>
        <v>C07C</v>
      </c>
      <c r="K444" s="1" t="str">
        <f>"C07C"</f>
        <v>C07C</v>
      </c>
      <c r="L444" s="1" t="str">
        <f t="shared" si="136"/>
        <v>R</v>
      </c>
      <c r="M444" s="1" t="str">
        <f>"T05"</f>
        <v>T05</v>
      </c>
      <c r="N444" s="1" t="str">
        <f t="shared" si="137"/>
        <v>Y</v>
      </c>
      <c r="O444" s="1" t="str">
        <f t="shared" si="133"/>
        <v>Y</v>
      </c>
      <c r="P444" s="1" t="str">
        <f t="shared" si="128"/>
        <v>Y</v>
      </c>
      <c r="Q444" s="1" t="str">
        <f t="shared" si="135"/>
        <v>A</v>
      </c>
    </row>
    <row r="445" spans="1:17" x14ac:dyDescent="0.3">
      <c r="A445" s="1" t="str">
        <f t="shared" si="134"/>
        <v>C</v>
      </c>
      <c r="B445" s="1" t="str">
        <f>"IL01LIP302"</f>
        <v>IL01LIP302</v>
      </c>
      <c r="C445" s="1" t="str">
        <f>"이상지질혈증 주의"</f>
        <v>이상지질혈증 주의</v>
      </c>
      <c r="D445" s="1" t="s">
        <v>117</v>
      </c>
      <c r="E445" s="1" t="str">
        <f t="shared" si="138"/>
        <v>WOK02</v>
      </c>
      <c r="F445" s="1" t="str">
        <f>"PTM01"</f>
        <v>PTM01</v>
      </c>
      <c r="G445" s="1" t="str">
        <f>"DISE"</f>
        <v>DISE</v>
      </c>
      <c r="H445" s="1" t="str">
        <f>"REL04"</f>
        <v>REL04</v>
      </c>
      <c r="I445" s="1" t="str">
        <f>""</f>
        <v/>
      </c>
      <c r="J445" s="1" t="str">
        <f>"C04C"</f>
        <v>C04C</v>
      </c>
      <c r="K445" s="1" t="str">
        <f>"C04C"</f>
        <v>C04C</v>
      </c>
      <c r="L445" s="1" t="str">
        <f t="shared" si="136"/>
        <v>R</v>
      </c>
      <c r="M445" s="1" t="str">
        <f>"T03"</f>
        <v>T03</v>
      </c>
      <c r="N445" s="1" t="str">
        <f t="shared" si="137"/>
        <v>Y</v>
      </c>
      <c r="O445" s="1" t="str">
        <f t="shared" si="133"/>
        <v>Y</v>
      </c>
      <c r="P445" s="1" t="str">
        <f t="shared" si="128"/>
        <v>Y</v>
      </c>
      <c r="Q445" s="1" t="str">
        <f t="shared" si="135"/>
        <v>A</v>
      </c>
    </row>
    <row r="446" spans="1:17" x14ac:dyDescent="0.3">
      <c r="A446" s="1" t="str">
        <f t="shared" si="134"/>
        <v>C</v>
      </c>
      <c r="B446" s="1" t="str">
        <f>"IL01LIPLT7"</f>
        <v>IL01LIPLT7</v>
      </c>
      <c r="C446" s="1" t="str">
        <f>"고지혈증 주의"</f>
        <v>고지혈증 주의</v>
      </c>
      <c r="D446" s="1" t="str">
        <f>"혈중 콜레스테롤과 저밀도 콜레스테롤이 높습니다. 계속 높으면 심혈관계질환의 위험도가 증가합니다. 이를 줄이기 위해 기름기가 적은 음식을 먹고 음식 섭취량을 줄이고 규칙적으로 운동을 해야 합니다."</f>
        <v>혈중 콜레스테롤과 저밀도 콜레스테롤이 높습니다. 계속 높으면 심혈관계질환의 위험도가 증가합니다. 이를 줄이기 위해 기름기가 적은 음식을 먹고 음식 섭취량을 줄이고 규칙적으로 운동을 해야 합니다.</v>
      </c>
      <c r="E446" s="1" t="str">
        <f t="shared" si="138"/>
        <v>WOK02</v>
      </c>
      <c r="F446" s="1" t="str">
        <f>"PTM01"</f>
        <v>PTM01</v>
      </c>
      <c r="G446" s="1" t="str">
        <f>"DISE"</f>
        <v>DISE</v>
      </c>
      <c r="H446" s="1" t="str">
        <f>"REL04"</f>
        <v>REL04</v>
      </c>
      <c r="I446" s="1" t="str">
        <f>""</f>
        <v/>
      </c>
      <c r="J446" s="1" t="str">
        <f>"C04C"</f>
        <v>C04C</v>
      </c>
      <c r="K446" s="1" t="str">
        <f>"C04C"</f>
        <v>C04C</v>
      </c>
      <c r="L446" s="1" t="str">
        <f t="shared" si="136"/>
        <v>R</v>
      </c>
      <c r="M446" s="1" t="str">
        <f>"T03"</f>
        <v>T03</v>
      </c>
      <c r="N446" s="1" t="str">
        <f t="shared" si="137"/>
        <v>Y</v>
      </c>
      <c r="O446" s="1" t="str">
        <f t="shared" si="133"/>
        <v>Y</v>
      </c>
      <c r="P446" s="1" t="str">
        <f t="shared" si="128"/>
        <v>Y</v>
      </c>
      <c r="Q446" s="1" t="str">
        <f t="shared" si="135"/>
        <v>A</v>
      </c>
    </row>
    <row r="447" spans="1:17" x14ac:dyDescent="0.3">
      <c r="A447" s="1" t="str">
        <f t="shared" si="134"/>
        <v>C</v>
      </c>
      <c r="B447" s="1" t="str">
        <f>"IL01PTULT5"</f>
        <v>IL01PTULT5</v>
      </c>
      <c r="C447" s="1" t="str">
        <f>"단백뇨주의"</f>
        <v>단백뇨주의</v>
      </c>
      <c r="D447" s="1" t="str">
        <f>"경미한 요단백 소견이 보이나 신장기능의 이상은 없으므로 현재로서 별다른 조치를 할 필요는 없습니다. 정기검진시에 추적관찰하세요."</f>
        <v>경미한 요단백 소견이 보이나 신장기능의 이상은 없으므로 현재로서 별다른 조치를 할 필요는 없습니다. 정기검진시에 추적관찰하세요.</v>
      </c>
      <c r="E447" s="1" t="str">
        <f t="shared" si="138"/>
        <v>WOK02</v>
      </c>
      <c r="F447" s="1" t="str">
        <f>"PTM03"</f>
        <v>PTM03</v>
      </c>
      <c r="G447" s="1" t="str">
        <f>"DISN"</f>
        <v>DISN</v>
      </c>
      <c r="H447" s="1" t="str">
        <f>"REL08"</f>
        <v>REL08</v>
      </c>
      <c r="I447" s="1" t="str">
        <f>""</f>
        <v/>
      </c>
      <c r="J447" s="1" t="str">
        <f>"C07C"</f>
        <v>C07C</v>
      </c>
      <c r="K447" s="1" t="str">
        <f>"C07C"</f>
        <v>C07C</v>
      </c>
      <c r="L447" s="1" t="str">
        <f t="shared" si="136"/>
        <v>R</v>
      </c>
      <c r="M447" s="1" t="str">
        <f>"T05"</f>
        <v>T05</v>
      </c>
      <c r="N447" s="1" t="str">
        <f t="shared" si="137"/>
        <v>Y</v>
      </c>
      <c r="O447" s="1" t="str">
        <f t="shared" si="133"/>
        <v>Y</v>
      </c>
      <c r="P447" s="1" t="str">
        <f t="shared" si="128"/>
        <v>Y</v>
      </c>
      <c r="Q447" s="1" t="str">
        <f t="shared" si="135"/>
        <v>A</v>
      </c>
    </row>
    <row r="448" spans="1:17" x14ac:dyDescent="0.3">
      <c r="A448" s="1" t="str">
        <f t="shared" si="134"/>
        <v>C</v>
      </c>
      <c r="B448" s="1" t="str">
        <f>"J0040"</f>
        <v>J0040</v>
      </c>
      <c r="C448" s="1" t="str">
        <f>"간기능 저하"</f>
        <v>간기능 저하</v>
      </c>
      <c r="D448" s="1" t="s">
        <v>118</v>
      </c>
      <c r="E448" s="1" t="str">
        <f t="shared" si="138"/>
        <v>WOK02</v>
      </c>
      <c r="F448" s="1" t="str">
        <f>"PTM033"</f>
        <v>PTM033</v>
      </c>
      <c r="G448" s="1" t="str">
        <f>"DISK"</f>
        <v>DISK</v>
      </c>
      <c r="H448" s="1" t="str">
        <f>"REL05"</f>
        <v>REL05</v>
      </c>
      <c r="I448" s="1" t="str">
        <f>""</f>
        <v/>
      </c>
      <c r="J448" s="1" t="str">
        <f>"C05C"</f>
        <v>C05C</v>
      </c>
      <c r="K448" s="1" t="str">
        <f>"C05C"</f>
        <v>C05C</v>
      </c>
      <c r="L448" s="1" t="str">
        <f t="shared" si="136"/>
        <v>R</v>
      </c>
      <c r="M448" s="1" t="str">
        <f>"T02"</f>
        <v>T02</v>
      </c>
      <c r="N448" s="1" t="str">
        <f t="shared" si="137"/>
        <v>Y</v>
      </c>
      <c r="O448" s="1" t="str">
        <f t="shared" si="133"/>
        <v>Y</v>
      </c>
      <c r="P448" s="1" t="str">
        <f t="shared" si="128"/>
        <v>Y</v>
      </c>
      <c r="Q448" s="1" t="str">
        <f t="shared" si="135"/>
        <v>A</v>
      </c>
    </row>
    <row r="449" spans="1:17" x14ac:dyDescent="0.3">
      <c r="A449" s="1" t="str">
        <f t="shared" ref="A449:A480" si="139">"C"</f>
        <v>C</v>
      </c>
      <c r="B449" s="1" t="str">
        <f>"J0089"</f>
        <v>J0089</v>
      </c>
      <c r="C449" s="1" t="str">
        <f>"추간판탈출증의심"</f>
        <v>추간판탈출증의심</v>
      </c>
      <c r="D449" s="1" t="str">
        <f>"요통 등의 증상이 있을시 추적검사 및 전문의 상담 받으세요"</f>
        <v>요통 등의 증상이 있을시 추적검사 및 전문의 상담 받으세요</v>
      </c>
      <c r="E449" s="1" t="str">
        <f t="shared" si="138"/>
        <v>WOK02</v>
      </c>
      <c r="F449" s="1" t="str">
        <f>"PTM03"</f>
        <v>PTM03</v>
      </c>
      <c r="G449" s="1" t="str">
        <f>""</f>
        <v/>
      </c>
      <c r="H449" s="1" t="str">
        <f>""</f>
        <v/>
      </c>
      <c r="I449" s="1" t="str">
        <f>""</f>
        <v/>
      </c>
      <c r="J449" s="1" t="str">
        <f>"C43R"</f>
        <v>C43R</v>
      </c>
      <c r="K449" s="1" t="str">
        <f>"C43R"</f>
        <v>C43R</v>
      </c>
      <c r="L449" s="1" t="str">
        <f t="shared" si="136"/>
        <v>R</v>
      </c>
      <c r="M449" s="1" t="str">
        <f>""</f>
        <v/>
      </c>
      <c r="N449" s="1" t="str">
        <f t="shared" si="137"/>
        <v>Y</v>
      </c>
      <c r="O449" s="1" t="str">
        <f t="shared" si="133"/>
        <v>Y</v>
      </c>
      <c r="P449" s="1" t="str">
        <f t="shared" si="128"/>
        <v>Y</v>
      </c>
      <c r="Q449" s="1" t="str">
        <f t="shared" si="135"/>
        <v>A</v>
      </c>
    </row>
    <row r="450" spans="1:17" x14ac:dyDescent="0.3">
      <c r="A450" s="1" t="str">
        <f t="shared" si="139"/>
        <v>C</v>
      </c>
      <c r="B450" s="1" t="str">
        <f>"J0091"</f>
        <v>J0091</v>
      </c>
      <c r="C450" s="1" t="str">
        <f>"흉부 질환 주의"</f>
        <v>흉부 질환 주의</v>
      </c>
      <c r="D450" s="1" t="s">
        <v>119</v>
      </c>
      <c r="E450" s="1" t="str">
        <f t="shared" si="138"/>
        <v>WOK02</v>
      </c>
      <c r="F450" s="1" t="str">
        <f t="shared" ref="F450:F456" si="140">"PTM01"</f>
        <v>PTM01</v>
      </c>
      <c r="G450" s="1" t="str">
        <f>"DISJ"</f>
        <v>DISJ</v>
      </c>
      <c r="H450" s="1" t="str">
        <f>"REL02"</f>
        <v>REL02</v>
      </c>
      <c r="I450" s="1" t="str">
        <f>""</f>
        <v/>
      </c>
      <c r="J450" s="1" t="str">
        <f>"C02C"</f>
        <v>C02C</v>
      </c>
      <c r="K450" s="1" t="str">
        <f>"C02C"</f>
        <v>C02C</v>
      </c>
      <c r="L450" s="1" t="str">
        <f t="shared" si="136"/>
        <v>R</v>
      </c>
      <c r="M450" s="1" t="str">
        <f>"T04"</f>
        <v>T04</v>
      </c>
      <c r="N450" s="1" t="str">
        <f t="shared" si="137"/>
        <v>Y</v>
      </c>
      <c r="O450" s="1" t="str">
        <f t="shared" si="133"/>
        <v>Y</v>
      </c>
      <c r="P450" s="1" t="str">
        <f t="shared" si="128"/>
        <v>Y</v>
      </c>
      <c r="Q450" s="1" t="str">
        <f t="shared" si="135"/>
        <v>A</v>
      </c>
    </row>
    <row r="451" spans="1:17" x14ac:dyDescent="0.3">
      <c r="A451" s="1" t="str">
        <f t="shared" si="139"/>
        <v>C</v>
      </c>
      <c r="B451" s="1" t="str">
        <f>"J00912"</f>
        <v>J00912</v>
      </c>
      <c r="C451" s="1" t="str">
        <f>"흉부방사선검사 진단미정"</f>
        <v>흉부방사선검사 진단미정</v>
      </c>
      <c r="D451" s="1" t="str">
        <f>"정확한 진단을 위해 호흡기 내과 진료를 받아보시기 바랍니다."</f>
        <v>정확한 진단을 위해 호흡기 내과 진료를 받아보시기 바랍니다.</v>
      </c>
      <c r="E451" s="1" t="str">
        <f t="shared" si="138"/>
        <v>WOK02</v>
      </c>
      <c r="F451" s="1" t="str">
        <f t="shared" si="140"/>
        <v>PTM01</v>
      </c>
      <c r="G451" s="1" t="str">
        <f>"DISJ"</f>
        <v>DISJ</v>
      </c>
      <c r="H451" s="1" t="str">
        <f>""</f>
        <v/>
      </c>
      <c r="I451" s="1" t="str">
        <f>""</f>
        <v/>
      </c>
      <c r="J451" s="1" t="str">
        <f>"C30C"</f>
        <v>C30C</v>
      </c>
      <c r="K451" s="1" t="str">
        <f>"C30D"</f>
        <v>C30D</v>
      </c>
      <c r="L451" s="1" t="str">
        <f t="shared" si="136"/>
        <v>R</v>
      </c>
      <c r="M451" s="1" t="str">
        <f>"T04"</f>
        <v>T04</v>
      </c>
      <c r="N451" s="1" t="str">
        <f t="shared" si="137"/>
        <v>Y</v>
      </c>
      <c r="O451" s="1" t="str">
        <f t="shared" si="133"/>
        <v>Y</v>
      </c>
      <c r="P451" s="1" t="str">
        <f t="shared" si="128"/>
        <v>Y</v>
      </c>
      <c r="Q451" s="1" t="str">
        <f t="shared" si="135"/>
        <v>A</v>
      </c>
    </row>
    <row r="452" spans="1:17" x14ac:dyDescent="0.3">
      <c r="A452" s="1" t="str">
        <f t="shared" si="139"/>
        <v>C</v>
      </c>
      <c r="B452" s="1" t="str">
        <f>"J0092"</f>
        <v>J0092</v>
      </c>
      <c r="C452" s="1" t="str">
        <f>"기타 순환기계 질환 주의"</f>
        <v>기타 순환기계 질환 주의</v>
      </c>
      <c r="D452" s="1" t="str">
        <f>"흉부 방사선 검사 상 순환기계의 이상 소견이 관찰됩니다. 정확한 진단을 위해 내원 상담하시기 바랍니다."</f>
        <v>흉부 방사선 검사 상 순환기계의 이상 소견이 관찰됩니다. 정확한 진단을 위해 내원 상담하시기 바랍니다.</v>
      </c>
      <c r="E452" s="1" t="str">
        <f t="shared" si="138"/>
        <v>WOK02</v>
      </c>
      <c r="F452" s="1" t="str">
        <f t="shared" si="140"/>
        <v>PTM01</v>
      </c>
      <c r="G452" s="1" t="str">
        <f>"DISI"</f>
        <v>DISI</v>
      </c>
      <c r="H452" s="1" t="str">
        <f>"REL06"</f>
        <v>REL06</v>
      </c>
      <c r="I452" s="1" t="str">
        <f>""</f>
        <v/>
      </c>
      <c r="J452" s="1" t="str">
        <f>"C39C"</f>
        <v>C39C</v>
      </c>
      <c r="K452" s="1" t="str">
        <f>"C39D"</f>
        <v>C39D</v>
      </c>
      <c r="L452" s="1" t="str">
        <f t="shared" si="136"/>
        <v>R</v>
      </c>
      <c r="M452" s="1" t="str">
        <f>"T03"</f>
        <v>T03</v>
      </c>
      <c r="N452" s="1" t="str">
        <f t="shared" si="137"/>
        <v>Y</v>
      </c>
      <c r="O452" s="1" t="str">
        <f t="shared" si="133"/>
        <v>Y</v>
      </c>
      <c r="P452" s="1" t="str">
        <f t="shared" si="128"/>
        <v>Y</v>
      </c>
      <c r="Q452" s="1" t="str">
        <f t="shared" si="135"/>
        <v>A</v>
      </c>
    </row>
    <row r="453" spans="1:17" x14ac:dyDescent="0.3">
      <c r="A453" s="1" t="str">
        <f t="shared" si="139"/>
        <v>C</v>
      </c>
      <c r="B453" s="1" t="str">
        <f>"J0092H"</f>
        <v>J0092H</v>
      </c>
      <c r="C453" s="1" t="str">
        <f>"기타 순환기계 질환 주의"</f>
        <v>기타 순환기계 질환 주의</v>
      </c>
      <c r="D453" s="1" t="str">
        <f>"흉부 방사선 검사 상 순환기계의 이상 소견이 관찰됩니다. 정확한 진단을 위해 내원 상담하시기 바랍니다."</f>
        <v>흉부 방사선 검사 상 순환기계의 이상 소견이 관찰됩니다. 정확한 진단을 위해 내원 상담하시기 바랍니다.</v>
      </c>
      <c r="E453" s="1" t="str">
        <f t="shared" si="138"/>
        <v>WOK02</v>
      </c>
      <c r="F453" s="1" t="str">
        <f t="shared" si="140"/>
        <v>PTM01</v>
      </c>
      <c r="G453" s="1" t="str">
        <f>"DISI"</f>
        <v>DISI</v>
      </c>
      <c r="H453" s="1" t="str">
        <f>"REL06"</f>
        <v>REL06</v>
      </c>
      <c r="I453" s="1" t="str">
        <f>""</f>
        <v/>
      </c>
      <c r="J453" s="1" t="str">
        <f>"C39C"</f>
        <v>C39C</v>
      </c>
      <c r="K453" s="1" t="str">
        <f>"C39D"</f>
        <v>C39D</v>
      </c>
      <c r="L453" s="1" t="str">
        <f t="shared" si="136"/>
        <v>R</v>
      </c>
      <c r="M453" s="1" t="str">
        <f>"T03"</f>
        <v>T03</v>
      </c>
      <c r="N453" s="1" t="str">
        <f t="shared" si="137"/>
        <v>Y</v>
      </c>
      <c r="O453" s="1" t="str">
        <f t="shared" si="133"/>
        <v>Y</v>
      </c>
      <c r="P453" s="1" t="str">
        <f t="shared" si="128"/>
        <v>Y</v>
      </c>
      <c r="Q453" s="1" t="str">
        <f t="shared" si="135"/>
        <v>A</v>
      </c>
    </row>
    <row r="454" spans="1:17" x14ac:dyDescent="0.3">
      <c r="A454" s="1" t="str">
        <f t="shared" si="139"/>
        <v>C</v>
      </c>
      <c r="B454" s="1" t="str">
        <f>"J0094"</f>
        <v>J0094</v>
      </c>
      <c r="C454" s="1" t="str">
        <f>"비만"</f>
        <v>비만</v>
      </c>
      <c r="D454" s="1" t="str">
        <f>"비만 소견입니다. 비만은 각종 성인병의 원인이 되므로 반드시 식이조절과 규칙적인 유산소운동을 통한 체중 조절이 필요합니다."</f>
        <v>비만 소견입니다. 비만은 각종 성인병의 원인이 되므로 반드시 식이조절과 규칙적인 유산소운동을 통한 체중 조절이 필요합니다.</v>
      </c>
      <c r="E454" s="1" t="str">
        <f>"WOK01"</f>
        <v>WOK01</v>
      </c>
      <c r="F454" s="1" t="str">
        <f t="shared" si="140"/>
        <v>PTM01</v>
      </c>
      <c r="G454" s="1" t="str">
        <f>"DISE"</f>
        <v>DISE</v>
      </c>
      <c r="H454" s="1" t="str">
        <f>"REL10"</f>
        <v>REL10</v>
      </c>
      <c r="I454" s="1" t="str">
        <f>""</f>
        <v/>
      </c>
      <c r="J454" s="1" t="str">
        <f>"C35C"</f>
        <v>C35C</v>
      </c>
      <c r="K454" s="1" t="str">
        <f>"C35C"</f>
        <v>C35C</v>
      </c>
      <c r="L454" s="1" t="str">
        <f t="shared" si="136"/>
        <v>R</v>
      </c>
      <c r="M454" s="1" t="str">
        <f>"T03"</f>
        <v>T03</v>
      </c>
      <c r="N454" s="1" t="str">
        <f>"N"</f>
        <v>N</v>
      </c>
      <c r="O454" s="1" t="str">
        <f>"N"</f>
        <v>N</v>
      </c>
      <c r="P454" s="1" t="str">
        <f t="shared" si="128"/>
        <v>Y</v>
      </c>
      <c r="Q454" s="1" t="str">
        <f t="shared" si="135"/>
        <v>A</v>
      </c>
    </row>
    <row r="455" spans="1:17" x14ac:dyDescent="0.3">
      <c r="A455" s="1" t="str">
        <f t="shared" si="139"/>
        <v>C</v>
      </c>
      <c r="B455" s="1" t="str">
        <f>"J0131"</f>
        <v>J0131</v>
      </c>
      <c r="C455" s="1" t="str">
        <f>"폐기종성 변화"</f>
        <v>폐기종성 변화</v>
      </c>
      <c r="D455" s="1" t="s">
        <v>120</v>
      </c>
      <c r="E455" s="1" t="str">
        <f>"WOK02"</f>
        <v>WOK02</v>
      </c>
      <c r="F455" s="1" t="str">
        <f t="shared" si="140"/>
        <v>PTM01</v>
      </c>
      <c r="G455" s="1" t="str">
        <f>"DISJ"</f>
        <v>DISJ</v>
      </c>
      <c r="H455" s="1" t="str">
        <f>"REL02"</f>
        <v>REL02</v>
      </c>
      <c r="I455" s="1" t="str">
        <f>""</f>
        <v/>
      </c>
      <c r="J455" s="1" t="str">
        <f>"C40C"</f>
        <v>C40C</v>
      </c>
      <c r="K455" s="1" t="str">
        <f>"C40C"</f>
        <v>C40C</v>
      </c>
      <c r="L455" s="1" t="str">
        <f t="shared" si="136"/>
        <v>R</v>
      </c>
      <c r="M455" s="1" t="str">
        <f>"T04"</f>
        <v>T04</v>
      </c>
      <c r="N455" s="1" t="str">
        <f t="shared" ref="N455:O475" si="141">"Y"</f>
        <v>Y</v>
      </c>
      <c r="O455" s="1" t="str">
        <f t="shared" si="141"/>
        <v>Y</v>
      </c>
      <c r="P455" s="1" t="str">
        <f t="shared" si="128"/>
        <v>Y</v>
      </c>
      <c r="Q455" s="1" t="str">
        <f t="shared" si="135"/>
        <v>A</v>
      </c>
    </row>
    <row r="456" spans="1:17" x14ac:dyDescent="0.3">
      <c r="A456" s="1" t="str">
        <f t="shared" si="139"/>
        <v>C</v>
      </c>
      <c r="B456" s="1" t="str">
        <f>"J0134"</f>
        <v>J0134</v>
      </c>
      <c r="C456" s="1" t="str">
        <f>"폐기종"</f>
        <v>폐기종</v>
      </c>
      <c r="D456" s="1" t="s">
        <v>121</v>
      </c>
      <c r="E456" s="1" t="str">
        <f>"WOK02"</f>
        <v>WOK02</v>
      </c>
      <c r="F456" s="1" t="str">
        <f t="shared" si="140"/>
        <v>PTM01</v>
      </c>
      <c r="G456" s="1" t="str">
        <f>"DISJ"</f>
        <v>DISJ</v>
      </c>
      <c r="H456" s="1" t="str">
        <f>"REL02"</f>
        <v>REL02</v>
      </c>
      <c r="I456" s="1" t="str">
        <f>""</f>
        <v/>
      </c>
      <c r="J456" s="1" t="str">
        <f>"C40C"</f>
        <v>C40C</v>
      </c>
      <c r="K456" s="1" t="str">
        <f>"C40C"</f>
        <v>C40C</v>
      </c>
      <c r="L456" s="1" t="str">
        <f>"Q"</f>
        <v>Q</v>
      </c>
      <c r="M456" s="1" t="str">
        <f>"T04"</f>
        <v>T04</v>
      </c>
      <c r="N456" s="1" t="str">
        <f t="shared" si="141"/>
        <v>Y</v>
      </c>
      <c r="O456" s="1" t="str">
        <f t="shared" si="141"/>
        <v>Y</v>
      </c>
      <c r="P456" s="1" t="str">
        <f t="shared" si="128"/>
        <v>Y</v>
      </c>
      <c r="Q456" s="1" t="str">
        <f t="shared" si="135"/>
        <v>A</v>
      </c>
    </row>
    <row r="457" spans="1:17" x14ac:dyDescent="0.3">
      <c r="A457" s="1" t="str">
        <f t="shared" si="139"/>
        <v>C</v>
      </c>
      <c r="B457" s="1" t="str">
        <f>"J0178BB"</f>
        <v>J0178BB</v>
      </c>
      <c r="C457" s="1" t="str">
        <f>"적녹색각이상"</f>
        <v>적녹색각이상</v>
      </c>
      <c r="D457" s="1" t="s">
        <v>122</v>
      </c>
      <c r="E457" s="1" t="str">
        <f>""</f>
        <v/>
      </c>
      <c r="F457" s="1" t="str">
        <f>""</f>
        <v/>
      </c>
      <c r="G457" s="1" t="str">
        <f>""</f>
        <v/>
      </c>
      <c r="H457" s="1" t="str">
        <f>""</f>
        <v/>
      </c>
      <c r="I457" s="1" t="str">
        <f>""</f>
        <v/>
      </c>
      <c r="J457" s="1" t="str">
        <f>""</f>
        <v/>
      </c>
      <c r="K457" s="1" t="str">
        <f>""</f>
        <v/>
      </c>
      <c r="L457" s="1" t="str">
        <f t="shared" ref="L457:L520" si="142">"R"</f>
        <v>R</v>
      </c>
      <c r="M457" s="1" t="str">
        <f>""</f>
        <v/>
      </c>
      <c r="N457" s="1" t="str">
        <f t="shared" si="141"/>
        <v>Y</v>
      </c>
      <c r="O457" s="1" t="str">
        <f t="shared" si="141"/>
        <v>Y</v>
      </c>
      <c r="P457" s="1" t="str">
        <f t="shared" si="128"/>
        <v>Y</v>
      </c>
      <c r="Q457" s="1" t="str">
        <f t="shared" si="135"/>
        <v>A</v>
      </c>
    </row>
    <row r="458" spans="1:17" x14ac:dyDescent="0.3">
      <c r="A458" s="1" t="str">
        <f t="shared" si="139"/>
        <v>C</v>
      </c>
      <c r="B458" s="1" t="str">
        <f>"J0178BC"</f>
        <v>J0178BC</v>
      </c>
      <c r="C458" s="1" t="str">
        <f>"적색각이상"</f>
        <v>적색각이상</v>
      </c>
      <c r="D458" s="1" t="s">
        <v>123</v>
      </c>
      <c r="E458" s="1" t="str">
        <f>""</f>
        <v/>
      </c>
      <c r="F458" s="1" t="str">
        <f>""</f>
        <v/>
      </c>
      <c r="G458" s="1" t="str">
        <f>""</f>
        <v/>
      </c>
      <c r="H458" s="1" t="str">
        <f>""</f>
        <v/>
      </c>
      <c r="I458" s="1" t="str">
        <f>""</f>
        <v/>
      </c>
      <c r="J458" s="1" t="str">
        <f>""</f>
        <v/>
      </c>
      <c r="K458" s="1" t="str">
        <f>""</f>
        <v/>
      </c>
      <c r="L458" s="1" t="str">
        <f t="shared" si="142"/>
        <v>R</v>
      </c>
      <c r="M458" s="1" t="str">
        <f>""</f>
        <v/>
      </c>
      <c r="N458" s="1" t="str">
        <f t="shared" si="141"/>
        <v>Y</v>
      </c>
      <c r="O458" s="1" t="str">
        <f t="shared" si="141"/>
        <v>Y</v>
      </c>
      <c r="P458" s="1" t="str">
        <f t="shared" ref="P458:P521" si="143">"Y"</f>
        <v>Y</v>
      </c>
      <c r="Q458" s="1" t="str">
        <f t="shared" si="135"/>
        <v>A</v>
      </c>
    </row>
    <row r="459" spans="1:17" x14ac:dyDescent="0.3">
      <c r="A459" s="1" t="str">
        <f t="shared" si="139"/>
        <v>C</v>
      </c>
      <c r="B459" s="1" t="str">
        <f>"J0178BD"</f>
        <v>J0178BD</v>
      </c>
      <c r="C459" s="1" t="str">
        <f>"녹색각이상"</f>
        <v>녹색각이상</v>
      </c>
      <c r="D459" s="1" t="s">
        <v>124</v>
      </c>
      <c r="E459" s="1" t="str">
        <f>""</f>
        <v/>
      </c>
      <c r="F459" s="1" t="str">
        <f>""</f>
        <v/>
      </c>
      <c r="G459" s="1" t="str">
        <f>""</f>
        <v/>
      </c>
      <c r="H459" s="1" t="str">
        <f>""</f>
        <v/>
      </c>
      <c r="I459" s="1" t="str">
        <f>""</f>
        <v/>
      </c>
      <c r="J459" s="1" t="str">
        <f>""</f>
        <v/>
      </c>
      <c r="K459" s="1" t="str">
        <f>""</f>
        <v/>
      </c>
      <c r="L459" s="1" t="str">
        <f t="shared" si="142"/>
        <v>R</v>
      </c>
      <c r="M459" s="1" t="str">
        <f>""</f>
        <v/>
      </c>
      <c r="N459" s="1" t="str">
        <f t="shared" si="141"/>
        <v>Y</v>
      </c>
      <c r="O459" s="1" t="str">
        <f t="shared" si="141"/>
        <v>Y</v>
      </c>
      <c r="P459" s="1" t="str">
        <f t="shared" si="143"/>
        <v>Y</v>
      </c>
      <c r="Q459" s="1" t="str">
        <f t="shared" si="135"/>
        <v>A</v>
      </c>
    </row>
    <row r="460" spans="1:17" x14ac:dyDescent="0.3">
      <c r="A460" s="1" t="str">
        <f t="shared" si="139"/>
        <v>C</v>
      </c>
      <c r="B460" s="1" t="str">
        <f>"J0222"</f>
        <v>J0222</v>
      </c>
      <c r="C460" s="1" t="str">
        <f>"신장질환의심(단백뇨)"</f>
        <v>신장질환의심(단백뇨)</v>
      </c>
      <c r="D460" s="1" t="str">
        <f>"소변검사 상 단백뇨 양성 소견입니다. 신장기능에 대한 추적검사 필요하니 내과진료를 받으세요."</f>
        <v>소변검사 상 단백뇨 양성 소견입니다. 신장기능에 대한 추적검사 필요하니 내과진료를 받으세요.</v>
      </c>
      <c r="E460" s="1" t="str">
        <f>"WOK02"</f>
        <v>WOK02</v>
      </c>
      <c r="F460" s="1" t="str">
        <f>"PTM04"</f>
        <v>PTM04</v>
      </c>
      <c r="G460" s="1" t="str">
        <f>"DISN"</f>
        <v>DISN</v>
      </c>
      <c r="H460" s="1" t="str">
        <f>"REL08"</f>
        <v>REL08</v>
      </c>
      <c r="I460" s="1" t="str">
        <f>""</f>
        <v/>
      </c>
      <c r="J460" s="1" t="str">
        <f>"C07R"</f>
        <v>C07R</v>
      </c>
      <c r="K460" s="1" t="str">
        <f>"C07R"</f>
        <v>C07R</v>
      </c>
      <c r="L460" s="1" t="str">
        <f t="shared" si="142"/>
        <v>R</v>
      </c>
      <c r="M460" s="1" t="str">
        <f>"T05"</f>
        <v>T05</v>
      </c>
      <c r="N460" s="1" t="str">
        <f t="shared" si="141"/>
        <v>Y</v>
      </c>
      <c r="O460" s="1" t="str">
        <f t="shared" si="141"/>
        <v>Y</v>
      </c>
      <c r="P460" s="1" t="str">
        <f t="shared" si="143"/>
        <v>Y</v>
      </c>
      <c r="Q460" s="1" t="str">
        <f t="shared" si="135"/>
        <v>A</v>
      </c>
    </row>
    <row r="461" spans="1:17" x14ac:dyDescent="0.3">
      <c r="A461" s="1" t="str">
        <f t="shared" si="139"/>
        <v>C</v>
      </c>
      <c r="B461" s="1" t="str">
        <f>"J0235"</f>
        <v>J0235</v>
      </c>
      <c r="C461" s="1" t="str">
        <f>"간질성 폐질환 의증"</f>
        <v>간질성 폐질환 의증</v>
      </c>
      <c r="D461" s="1" t="str">
        <f>"진폐증 등 폐질환이 의심됩니다. 정확한 진단과 치료를 위해 내과진료가 필요합니다."</f>
        <v>진폐증 등 폐질환이 의심됩니다. 정확한 진단과 치료를 위해 내과진료가 필요합니다.</v>
      </c>
      <c r="E461" s="1" t="str">
        <f>"WOK02"</f>
        <v>WOK02</v>
      </c>
      <c r="F461" s="1" t="str">
        <f>"PTM01"</f>
        <v>PTM01</v>
      </c>
      <c r="G461" s="1" t="str">
        <f>"DISJ"</f>
        <v>DISJ</v>
      </c>
      <c r="H461" s="1" t="str">
        <f>"REL02"</f>
        <v>REL02</v>
      </c>
      <c r="I461" s="1" t="str">
        <f>""</f>
        <v/>
      </c>
      <c r="J461" s="1" t="str">
        <f>"C02C"</f>
        <v>C02C</v>
      </c>
      <c r="K461" s="1" t="str">
        <f>"C02C"</f>
        <v>C02C</v>
      </c>
      <c r="L461" s="1" t="str">
        <f t="shared" si="142"/>
        <v>R</v>
      </c>
      <c r="M461" s="1" t="str">
        <f>"T04"</f>
        <v>T04</v>
      </c>
      <c r="N461" s="1" t="str">
        <f t="shared" si="141"/>
        <v>Y</v>
      </c>
      <c r="O461" s="1" t="str">
        <f t="shared" si="141"/>
        <v>Y</v>
      </c>
      <c r="P461" s="1" t="str">
        <f t="shared" si="143"/>
        <v>Y</v>
      </c>
      <c r="Q461" s="1" t="str">
        <f t="shared" si="135"/>
        <v>A</v>
      </c>
    </row>
    <row r="462" spans="1:17" x14ac:dyDescent="0.3">
      <c r="A462" s="1" t="str">
        <f t="shared" si="139"/>
        <v>C</v>
      </c>
      <c r="B462" s="1" t="str">
        <f>"J0293"</f>
        <v>J0293</v>
      </c>
      <c r="C462" s="1" t="str">
        <f>"혈중 크레아티닌 상승"</f>
        <v>혈중 크레아티닌 상승</v>
      </c>
      <c r="D462" s="1" t="str">
        <f>"신장기능 검사지표인 혈중 크레아티닌이 상승하였습니다. 저염식 및 운동이 필요합니다. 신장내과 진료 바랍니다."</f>
        <v>신장기능 검사지표인 혈중 크레아티닌이 상승하였습니다. 저염식 및 운동이 필요합니다. 신장내과 진료 바랍니다.</v>
      </c>
      <c r="E462" s="1" t="str">
        <f>"WOK02"</f>
        <v>WOK02</v>
      </c>
      <c r="F462" s="1" t="str">
        <f>"PTM03"</f>
        <v>PTM03</v>
      </c>
      <c r="G462" s="1" t="str">
        <f>"DISN"</f>
        <v>DISN</v>
      </c>
      <c r="H462" s="1" t="str">
        <f>"REL08"</f>
        <v>REL08</v>
      </c>
      <c r="I462" s="1" t="str">
        <f>""</f>
        <v/>
      </c>
      <c r="J462" s="1" t="str">
        <f>"C07C"</f>
        <v>C07C</v>
      </c>
      <c r="K462" s="1" t="str">
        <f>"C07C"</f>
        <v>C07C</v>
      </c>
      <c r="L462" s="1" t="str">
        <f t="shared" si="142"/>
        <v>R</v>
      </c>
      <c r="M462" s="1" t="str">
        <f>"T05"</f>
        <v>T05</v>
      </c>
      <c r="N462" s="1" t="str">
        <f t="shared" si="141"/>
        <v>Y</v>
      </c>
      <c r="O462" s="1" t="str">
        <f t="shared" si="141"/>
        <v>Y</v>
      </c>
      <c r="P462" s="1" t="str">
        <f t="shared" si="143"/>
        <v>Y</v>
      </c>
      <c r="Q462" s="1" t="str">
        <f t="shared" si="135"/>
        <v>A</v>
      </c>
    </row>
    <row r="463" spans="1:17" x14ac:dyDescent="0.3">
      <c r="A463" s="1" t="str">
        <f t="shared" si="139"/>
        <v>C</v>
      </c>
      <c r="B463" s="1" t="str">
        <f>"J0312"</f>
        <v>J0312</v>
      </c>
      <c r="C463" s="1" t="str">
        <f>"흉부 질환 주의"</f>
        <v>흉부 질환 주의</v>
      </c>
      <c r="D463" s="1" t="s">
        <v>125</v>
      </c>
      <c r="E463" s="1" t="str">
        <f>"WOK02"</f>
        <v>WOK02</v>
      </c>
      <c r="F463" s="1" t="str">
        <f>"PTM01"</f>
        <v>PTM01</v>
      </c>
      <c r="G463" s="1" t="str">
        <f>"DISJ"</f>
        <v>DISJ</v>
      </c>
      <c r="H463" s="1" t="str">
        <f>"REL02"</f>
        <v>REL02</v>
      </c>
      <c r="I463" s="1" t="str">
        <f>""</f>
        <v/>
      </c>
      <c r="J463" s="1" t="str">
        <f>"C02C"</f>
        <v>C02C</v>
      </c>
      <c r="K463" s="1" t="str">
        <f>"C02C"</f>
        <v>C02C</v>
      </c>
      <c r="L463" s="1" t="str">
        <f t="shared" si="142"/>
        <v>R</v>
      </c>
      <c r="M463" s="1" t="str">
        <f>"T04"</f>
        <v>T04</v>
      </c>
      <c r="N463" s="1" t="str">
        <f t="shared" si="141"/>
        <v>Y</v>
      </c>
      <c r="O463" s="1" t="str">
        <f t="shared" si="141"/>
        <v>Y</v>
      </c>
      <c r="P463" s="1" t="str">
        <f t="shared" si="143"/>
        <v>Y</v>
      </c>
      <c r="Q463" s="1" t="str">
        <f t="shared" si="135"/>
        <v>A</v>
      </c>
    </row>
    <row r="464" spans="1:17" x14ac:dyDescent="0.3">
      <c r="A464" s="1" t="str">
        <f t="shared" si="139"/>
        <v>C</v>
      </c>
      <c r="B464" s="1" t="str">
        <f>"J0328"</f>
        <v>J0328</v>
      </c>
      <c r="C464" s="1" t="str">
        <f>"비장의 이상소견"</f>
        <v>비장의 이상소견</v>
      </c>
      <c r="D464" s="1" t="str">
        <f>"복부초음파 검사상 비장의 혈관 주위에 고에코상 소견이 관찰됩니다. 석회질 또는 섬유화가 의심됩니다. 하지만 정확한 진단을 위해서는 추가적인 검사가 필요하오니 가까운 의료기관 방문하여 진료상담 받으시기 바랍니다."</f>
        <v>복부초음파 검사상 비장의 혈관 주위에 고에코상 소견이 관찰됩니다. 석회질 또는 섬유화가 의심됩니다. 하지만 정확한 진단을 위해서는 추가적인 검사가 필요하오니 가까운 의료기관 방문하여 진료상담 받으시기 바랍니다.</v>
      </c>
      <c r="E464" s="1" t="str">
        <f>""</f>
        <v/>
      </c>
      <c r="F464" s="1" t="str">
        <f>""</f>
        <v/>
      </c>
      <c r="G464" s="1" t="str">
        <f>"DISK"</f>
        <v>DISK</v>
      </c>
      <c r="H464" s="1" t="str">
        <f>""</f>
        <v/>
      </c>
      <c r="I464" s="1" t="str">
        <f>""</f>
        <v/>
      </c>
      <c r="J464" s="1" t="str">
        <f>"C41C"</f>
        <v>C41C</v>
      </c>
      <c r="K464" s="1" t="str">
        <f>"C41C"</f>
        <v>C41C</v>
      </c>
      <c r="L464" s="1" t="str">
        <f t="shared" si="142"/>
        <v>R</v>
      </c>
      <c r="M464" s="1" t="str">
        <f>""</f>
        <v/>
      </c>
      <c r="N464" s="1" t="str">
        <f t="shared" si="141"/>
        <v>Y</v>
      </c>
      <c r="O464" s="1" t="str">
        <f t="shared" si="141"/>
        <v>Y</v>
      </c>
      <c r="P464" s="1" t="str">
        <f t="shared" si="143"/>
        <v>Y</v>
      </c>
      <c r="Q464" s="1" t="str">
        <f t="shared" si="135"/>
        <v>A</v>
      </c>
    </row>
    <row r="465" spans="1:17" x14ac:dyDescent="0.3">
      <c r="A465" s="1" t="str">
        <f t="shared" si="139"/>
        <v>C</v>
      </c>
      <c r="B465" s="1" t="str">
        <f>"J0329"</f>
        <v>J0329</v>
      </c>
      <c r="C465" s="1" t="str">
        <f>"신장기능 저하"</f>
        <v>신장기능 저하</v>
      </c>
      <c r="D465" s="1" t="s">
        <v>116</v>
      </c>
      <c r="E465" s="1" t="str">
        <f>"WOK02"</f>
        <v>WOK02</v>
      </c>
      <c r="F465" s="1" t="str">
        <f>"PTM03"</f>
        <v>PTM03</v>
      </c>
      <c r="G465" s="1" t="str">
        <f>"DISN"</f>
        <v>DISN</v>
      </c>
      <c r="H465" s="1" t="str">
        <f>"REL08"</f>
        <v>REL08</v>
      </c>
      <c r="I465" s="1" t="str">
        <f>""</f>
        <v/>
      </c>
      <c r="J465" s="1" t="str">
        <f>"C07C"</f>
        <v>C07C</v>
      </c>
      <c r="K465" s="1" t="str">
        <f>"C07C"</f>
        <v>C07C</v>
      </c>
      <c r="L465" s="1" t="str">
        <f t="shared" si="142"/>
        <v>R</v>
      </c>
      <c r="M465" s="1" t="str">
        <f>"T05"</f>
        <v>T05</v>
      </c>
      <c r="N465" s="1" t="str">
        <f t="shared" si="141"/>
        <v>Y</v>
      </c>
      <c r="O465" s="1" t="str">
        <f t="shared" si="141"/>
        <v>Y</v>
      </c>
      <c r="P465" s="1" t="str">
        <f t="shared" si="143"/>
        <v>Y</v>
      </c>
      <c r="Q465" s="1" t="str">
        <f t="shared" si="135"/>
        <v>A</v>
      </c>
    </row>
    <row r="466" spans="1:17" x14ac:dyDescent="0.3">
      <c r="A466" s="1" t="str">
        <f t="shared" si="139"/>
        <v>C</v>
      </c>
      <c r="B466" s="1" t="str">
        <f>"J0504"</f>
        <v>J0504</v>
      </c>
      <c r="C466" s="1" t="str">
        <f>"복부비만"</f>
        <v>복부비만</v>
      </c>
      <c r="D466" s="1" t="str">
        <f>"복부비만은 심뇌혈관질환의 원인이 됩니다. 식생활개선 및 운동으로 체중감량이 필요합니다."</f>
        <v>복부비만은 심뇌혈관질환의 원인이 됩니다. 식생활개선 및 운동으로 체중감량이 필요합니다.</v>
      </c>
      <c r="E466" s="1" t="str">
        <f>"WOK01"</f>
        <v>WOK01</v>
      </c>
      <c r="F466" s="1" t="str">
        <f>"PTM01"</f>
        <v>PTM01</v>
      </c>
      <c r="G466" s="1" t="str">
        <f>"DISE"</f>
        <v>DISE</v>
      </c>
      <c r="H466" s="1" t="str">
        <f>"REL10"</f>
        <v>REL10</v>
      </c>
      <c r="I466" s="1" t="str">
        <f>""</f>
        <v/>
      </c>
      <c r="J466" s="1" t="str">
        <f>"C35C"</f>
        <v>C35C</v>
      </c>
      <c r="K466" s="1" t="str">
        <f>"C35C"</f>
        <v>C35C</v>
      </c>
      <c r="L466" s="1" t="str">
        <f t="shared" si="142"/>
        <v>R</v>
      </c>
      <c r="M466" s="1" t="str">
        <f>""</f>
        <v/>
      </c>
      <c r="N466" s="1" t="str">
        <f t="shared" si="141"/>
        <v>Y</v>
      </c>
      <c r="O466" s="1" t="str">
        <f t="shared" si="141"/>
        <v>Y</v>
      </c>
      <c r="P466" s="1" t="str">
        <f t="shared" si="143"/>
        <v>Y</v>
      </c>
      <c r="Q466" s="1" t="str">
        <f t="shared" si="135"/>
        <v>A</v>
      </c>
    </row>
    <row r="467" spans="1:17" x14ac:dyDescent="0.3">
      <c r="A467" s="1" t="str">
        <f t="shared" si="139"/>
        <v>C</v>
      </c>
      <c r="B467" s="1" t="str">
        <f>"L106001H"</f>
        <v>L106001H</v>
      </c>
      <c r="C467" s="1" t="str">
        <f>"혈소판 증가"</f>
        <v>혈소판 증가</v>
      </c>
      <c r="D467" s="1" t="str">
        <f>"혈소판 수가 증가하였습니다. 혈액질환이나 탈수에 따른 혈액농축과 같은 기타 일시적인 현상에 의해 증가하는 경우도 있습니다. 증상이 없다면 다음 검사시에 추적관찰 바랍니다."</f>
        <v>혈소판 수가 증가하였습니다. 혈액질환이나 탈수에 따른 혈액농축과 같은 기타 일시적인 현상에 의해 증가하는 경우도 있습니다. 증상이 없다면 다음 검사시에 추적관찰 바랍니다.</v>
      </c>
      <c r="E467" s="1" t="str">
        <f>"WOK02"</f>
        <v>WOK02</v>
      </c>
      <c r="F467" s="1" t="str">
        <f>"PTM03"</f>
        <v>PTM03</v>
      </c>
      <c r="G467" s="1" t="str">
        <f>"DISD"</f>
        <v>DISD</v>
      </c>
      <c r="H467" s="1" t="str">
        <f>"REL12"</f>
        <v>REL12</v>
      </c>
      <c r="I467" s="1" t="str">
        <f>""</f>
        <v/>
      </c>
      <c r="J467" s="1" t="str">
        <f>""</f>
        <v/>
      </c>
      <c r="K467" s="1" t="str">
        <f>""</f>
        <v/>
      </c>
      <c r="L467" s="1" t="str">
        <f t="shared" si="142"/>
        <v>R</v>
      </c>
      <c r="M467" s="1" t="str">
        <f>"T01"</f>
        <v>T01</v>
      </c>
      <c r="N467" s="1" t="str">
        <f t="shared" si="141"/>
        <v>Y</v>
      </c>
      <c r="O467" s="1" t="str">
        <f t="shared" si="141"/>
        <v>Y</v>
      </c>
      <c r="P467" s="1" t="str">
        <f t="shared" si="143"/>
        <v>Y</v>
      </c>
      <c r="Q467" s="1" t="str">
        <f t="shared" si="135"/>
        <v>A</v>
      </c>
    </row>
    <row r="468" spans="1:17" x14ac:dyDescent="0.3">
      <c r="A468" s="1" t="str">
        <f t="shared" si="139"/>
        <v>C</v>
      </c>
      <c r="B468" s="1" t="str">
        <f>"L243001"</f>
        <v>L243001</v>
      </c>
      <c r="C468" s="1" t="str">
        <f>"고지혈증주의 (LDL-콜레스테롤 상승)"</f>
        <v>고지혈증주의 (LDL-콜레스테롤 상승)</v>
      </c>
      <c r="D468" s="1" t="s">
        <v>126</v>
      </c>
      <c r="E468" s="1" t="str">
        <f>""</f>
        <v/>
      </c>
      <c r="F468" s="1" t="str">
        <f>""</f>
        <v/>
      </c>
      <c r="G468" s="1" t="str">
        <f>""</f>
        <v/>
      </c>
      <c r="H468" s="1" t="str">
        <f>""</f>
        <v/>
      </c>
      <c r="I468" s="1" t="str">
        <f>""</f>
        <v/>
      </c>
      <c r="J468" s="1" t="str">
        <f>""</f>
        <v/>
      </c>
      <c r="K468" s="1" t="str">
        <f>""</f>
        <v/>
      </c>
      <c r="L468" s="1" t="str">
        <f t="shared" si="142"/>
        <v>R</v>
      </c>
      <c r="M468" s="1" t="str">
        <f>""</f>
        <v/>
      </c>
      <c r="N468" s="1" t="str">
        <f t="shared" si="141"/>
        <v>Y</v>
      </c>
      <c r="O468" s="1" t="str">
        <f t="shared" si="141"/>
        <v>Y</v>
      </c>
      <c r="P468" s="1" t="str">
        <f t="shared" si="143"/>
        <v>Y</v>
      </c>
      <c r="Q468" s="1" t="str">
        <f t="shared" si="135"/>
        <v>A</v>
      </c>
    </row>
    <row r="469" spans="1:17" x14ac:dyDescent="0.3">
      <c r="A469" s="1" t="str">
        <f t="shared" si="139"/>
        <v>C</v>
      </c>
      <c r="B469" s="1" t="str">
        <f>"L243002"</f>
        <v>L243002</v>
      </c>
      <c r="C469" s="1" t="str">
        <f>"고지혈증주의 (LDL-콜레스테롤 상승)"</f>
        <v>고지혈증주의 (LDL-콜레스테롤 상승)</v>
      </c>
      <c r="D469" s="1" t="s">
        <v>127</v>
      </c>
      <c r="E469" s="1" t="str">
        <f>""</f>
        <v/>
      </c>
      <c r="F469" s="1" t="str">
        <f>""</f>
        <v/>
      </c>
      <c r="G469" s="1" t="str">
        <f>""</f>
        <v/>
      </c>
      <c r="H469" s="1" t="str">
        <f>""</f>
        <v/>
      </c>
      <c r="I469" s="1" t="str">
        <f>""</f>
        <v/>
      </c>
      <c r="J469" s="1" t="str">
        <f>""</f>
        <v/>
      </c>
      <c r="K469" s="1" t="str">
        <f>""</f>
        <v/>
      </c>
      <c r="L469" s="1" t="str">
        <f t="shared" si="142"/>
        <v>R</v>
      </c>
      <c r="M469" s="1" t="str">
        <f>""</f>
        <v/>
      </c>
      <c r="N469" s="1" t="str">
        <f t="shared" si="141"/>
        <v>Y</v>
      </c>
      <c r="O469" s="1" t="str">
        <f t="shared" si="141"/>
        <v>Y</v>
      </c>
      <c r="P469" s="1" t="str">
        <f t="shared" si="143"/>
        <v>Y</v>
      </c>
      <c r="Q469" s="1" t="str">
        <f t="shared" si="135"/>
        <v>A</v>
      </c>
    </row>
    <row r="470" spans="1:17" x14ac:dyDescent="0.3">
      <c r="A470" s="1" t="str">
        <f t="shared" si="139"/>
        <v>C</v>
      </c>
      <c r="B470" s="1" t="str">
        <f>"LIP302"</f>
        <v>LIP302</v>
      </c>
      <c r="C470" s="1" t="str">
        <f>"이상지질혈증 주의"</f>
        <v>이상지질혈증 주의</v>
      </c>
      <c r="D470" s="1" t="s">
        <v>128</v>
      </c>
      <c r="E470" s="1" t="str">
        <f t="shared" ref="E470:E482" si="144">"WOK02"</f>
        <v>WOK02</v>
      </c>
      <c r="F470" s="1" t="str">
        <f t="shared" ref="F470:F476" si="145">"PTM01"</f>
        <v>PTM01</v>
      </c>
      <c r="G470" s="1" t="str">
        <f t="shared" ref="G470:G475" si="146">"DISE"</f>
        <v>DISE</v>
      </c>
      <c r="H470" s="1" t="str">
        <f t="shared" ref="H470:H475" si="147">"REL04"</f>
        <v>REL04</v>
      </c>
      <c r="I470" s="1" t="str">
        <f>""</f>
        <v/>
      </c>
      <c r="J470" s="1" t="str">
        <f t="shared" ref="J470:K475" si="148">"C04C"</f>
        <v>C04C</v>
      </c>
      <c r="K470" s="1" t="str">
        <f t="shared" si="148"/>
        <v>C04C</v>
      </c>
      <c r="L470" s="1" t="str">
        <f t="shared" si="142"/>
        <v>R</v>
      </c>
      <c r="M470" s="1" t="str">
        <f t="shared" ref="M470:M475" si="149">"T03"</f>
        <v>T03</v>
      </c>
      <c r="N470" s="1" t="str">
        <f t="shared" si="141"/>
        <v>Y</v>
      </c>
      <c r="O470" s="1" t="str">
        <f t="shared" si="141"/>
        <v>Y</v>
      </c>
      <c r="P470" s="1" t="str">
        <f t="shared" si="143"/>
        <v>Y</v>
      </c>
      <c r="Q470" s="1" t="str">
        <f t="shared" si="135"/>
        <v>A</v>
      </c>
    </row>
    <row r="471" spans="1:17" x14ac:dyDescent="0.3">
      <c r="A471" s="1" t="str">
        <f t="shared" si="139"/>
        <v>C</v>
      </c>
      <c r="B471" s="1" t="str">
        <f>"LIP303"</f>
        <v>LIP303</v>
      </c>
      <c r="C471" s="1" t="str">
        <f>"콜레스테롤 이상"</f>
        <v>콜레스테롤 이상</v>
      </c>
      <c r="D471" s="1" t="s">
        <v>129</v>
      </c>
      <c r="E471" s="1" t="str">
        <f t="shared" si="144"/>
        <v>WOK02</v>
      </c>
      <c r="F471" s="1" t="str">
        <f t="shared" si="145"/>
        <v>PTM01</v>
      </c>
      <c r="G471" s="1" t="str">
        <f t="shared" si="146"/>
        <v>DISE</v>
      </c>
      <c r="H471" s="1" t="str">
        <f t="shared" si="147"/>
        <v>REL04</v>
      </c>
      <c r="I471" s="1" t="str">
        <f>""</f>
        <v/>
      </c>
      <c r="J471" s="1" t="str">
        <f t="shared" si="148"/>
        <v>C04C</v>
      </c>
      <c r="K471" s="1" t="str">
        <f t="shared" si="148"/>
        <v>C04C</v>
      </c>
      <c r="L471" s="1" t="str">
        <f t="shared" si="142"/>
        <v>R</v>
      </c>
      <c r="M471" s="1" t="str">
        <f t="shared" si="149"/>
        <v>T03</v>
      </c>
      <c r="N471" s="1" t="str">
        <f t="shared" si="141"/>
        <v>Y</v>
      </c>
      <c r="O471" s="1" t="str">
        <f t="shared" si="141"/>
        <v>Y</v>
      </c>
      <c r="P471" s="1" t="str">
        <f t="shared" si="143"/>
        <v>Y</v>
      </c>
      <c r="Q471" s="1" t="str">
        <f t="shared" si="135"/>
        <v>A</v>
      </c>
    </row>
    <row r="472" spans="1:17" x14ac:dyDescent="0.3">
      <c r="A472" s="1" t="str">
        <f t="shared" si="139"/>
        <v>C</v>
      </c>
      <c r="B472" s="1" t="str">
        <f>"LIPLD"</f>
        <v>LIPLD</v>
      </c>
      <c r="C472" s="1" t="str">
        <f>"고지혈증 주의"</f>
        <v>고지혈증 주의</v>
      </c>
      <c r="D472" s="1" t="s">
        <v>83</v>
      </c>
      <c r="E472" s="1" t="str">
        <f t="shared" si="144"/>
        <v>WOK02</v>
      </c>
      <c r="F472" s="1" t="str">
        <f t="shared" si="145"/>
        <v>PTM01</v>
      </c>
      <c r="G472" s="1" t="str">
        <f t="shared" si="146"/>
        <v>DISE</v>
      </c>
      <c r="H472" s="1" t="str">
        <f t="shared" si="147"/>
        <v>REL04</v>
      </c>
      <c r="I472" s="1" t="str">
        <f>""</f>
        <v/>
      </c>
      <c r="J472" s="1" t="str">
        <f t="shared" si="148"/>
        <v>C04C</v>
      </c>
      <c r="K472" s="1" t="str">
        <f t="shared" si="148"/>
        <v>C04C</v>
      </c>
      <c r="L472" s="1" t="str">
        <f t="shared" si="142"/>
        <v>R</v>
      </c>
      <c r="M472" s="1" t="str">
        <f t="shared" si="149"/>
        <v>T03</v>
      </c>
      <c r="N472" s="1" t="str">
        <f t="shared" si="141"/>
        <v>Y</v>
      </c>
      <c r="O472" s="1" t="str">
        <f t="shared" si="141"/>
        <v>Y</v>
      </c>
      <c r="P472" s="1" t="str">
        <f t="shared" si="143"/>
        <v>Y</v>
      </c>
      <c r="Q472" s="1" t="str">
        <f t="shared" si="135"/>
        <v>A</v>
      </c>
    </row>
    <row r="473" spans="1:17" x14ac:dyDescent="0.3">
      <c r="A473" s="1" t="str">
        <f t="shared" si="139"/>
        <v>C</v>
      </c>
      <c r="B473" s="1" t="str">
        <f>"LIPLT2"</f>
        <v>LIPLT2</v>
      </c>
      <c r="C473" s="1" t="str">
        <f>"고지혈증 주의"</f>
        <v>고지혈증 주의</v>
      </c>
      <c r="D473" s="1" t="str">
        <f>"콜레스테롤 수치가 정상범위 이상입니다. 운동 및 저지방식이 등의 자기관리와 지속적인 콜레스테롤에 대한 추적검사 하세요."</f>
        <v>콜레스테롤 수치가 정상범위 이상입니다. 운동 및 저지방식이 등의 자기관리와 지속적인 콜레스테롤에 대한 추적검사 하세요.</v>
      </c>
      <c r="E473" s="1" t="str">
        <f t="shared" si="144"/>
        <v>WOK02</v>
      </c>
      <c r="F473" s="1" t="str">
        <f t="shared" si="145"/>
        <v>PTM01</v>
      </c>
      <c r="G473" s="1" t="str">
        <f t="shared" si="146"/>
        <v>DISE</v>
      </c>
      <c r="H473" s="1" t="str">
        <f t="shared" si="147"/>
        <v>REL04</v>
      </c>
      <c r="I473" s="1" t="str">
        <f>""</f>
        <v/>
      </c>
      <c r="J473" s="1" t="str">
        <f t="shared" si="148"/>
        <v>C04C</v>
      </c>
      <c r="K473" s="1" t="str">
        <f t="shared" si="148"/>
        <v>C04C</v>
      </c>
      <c r="L473" s="1" t="str">
        <f t="shared" si="142"/>
        <v>R</v>
      </c>
      <c r="M473" s="1" t="str">
        <f t="shared" si="149"/>
        <v>T03</v>
      </c>
      <c r="N473" s="1" t="str">
        <f t="shared" si="141"/>
        <v>Y</v>
      </c>
      <c r="O473" s="1" t="str">
        <f t="shared" si="141"/>
        <v>Y</v>
      </c>
      <c r="P473" s="1" t="str">
        <f t="shared" si="143"/>
        <v>Y</v>
      </c>
      <c r="Q473" s="1" t="str">
        <f t="shared" si="135"/>
        <v>A</v>
      </c>
    </row>
    <row r="474" spans="1:17" x14ac:dyDescent="0.3">
      <c r="A474" s="1" t="str">
        <f t="shared" si="139"/>
        <v>C</v>
      </c>
      <c r="B474" s="1" t="str">
        <f>"LIPLT3"</f>
        <v>LIPLT3</v>
      </c>
      <c r="C474" s="1" t="str">
        <f>"고지혈증 주의"</f>
        <v>고지혈증 주의</v>
      </c>
      <c r="D474" s="1" t="str">
        <f>"콜레스테롤 수치가 정상범위 이상입니다. 운동 및 저지방식이 등의 자기관리와 소아청소년과 진료 통한 정밀검사가 필요합니다."</f>
        <v>콜레스테롤 수치가 정상범위 이상입니다. 운동 및 저지방식이 등의 자기관리와 소아청소년과 진료 통한 정밀검사가 필요합니다.</v>
      </c>
      <c r="E474" s="1" t="str">
        <f t="shared" si="144"/>
        <v>WOK02</v>
      </c>
      <c r="F474" s="1" t="str">
        <f t="shared" si="145"/>
        <v>PTM01</v>
      </c>
      <c r="G474" s="1" t="str">
        <f t="shared" si="146"/>
        <v>DISE</v>
      </c>
      <c r="H474" s="1" t="str">
        <f t="shared" si="147"/>
        <v>REL04</v>
      </c>
      <c r="I474" s="1" t="str">
        <f>""</f>
        <v/>
      </c>
      <c r="J474" s="1" t="str">
        <f t="shared" si="148"/>
        <v>C04C</v>
      </c>
      <c r="K474" s="1" t="str">
        <f t="shared" si="148"/>
        <v>C04C</v>
      </c>
      <c r="L474" s="1" t="str">
        <f t="shared" si="142"/>
        <v>R</v>
      </c>
      <c r="M474" s="1" t="str">
        <f t="shared" si="149"/>
        <v>T03</v>
      </c>
      <c r="N474" s="1" t="str">
        <f t="shared" si="141"/>
        <v>Y</v>
      </c>
      <c r="O474" s="1" t="str">
        <f t="shared" si="141"/>
        <v>Y</v>
      </c>
      <c r="P474" s="1" t="str">
        <f t="shared" si="143"/>
        <v>Y</v>
      </c>
      <c r="Q474" s="1" t="str">
        <f t="shared" si="135"/>
        <v>A</v>
      </c>
    </row>
    <row r="475" spans="1:17" x14ac:dyDescent="0.3">
      <c r="A475" s="1" t="str">
        <f t="shared" si="139"/>
        <v>C</v>
      </c>
      <c r="B475" s="1" t="str">
        <f>"LIPLT7"</f>
        <v>LIPLT7</v>
      </c>
      <c r="C475" s="1" t="str">
        <f>"고지혈증 주의"</f>
        <v>고지혈증 주의</v>
      </c>
      <c r="D475" s="1" t="s">
        <v>130</v>
      </c>
      <c r="E475" s="1" t="str">
        <f t="shared" si="144"/>
        <v>WOK02</v>
      </c>
      <c r="F475" s="1" t="str">
        <f t="shared" si="145"/>
        <v>PTM01</v>
      </c>
      <c r="G475" s="1" t="str">
        <f t="shared" si="146"/>
        <v>DISE</v>
      </c>
      <c r="H475" s="1" t="str">
        <f t="shared" si="147"/>
        <v>REL04</v>
      </c>
      <c r="I475" s="1" t="str">
        <f>""</f>
        <v/>
      </c>
      <c r="J475" s="1" t="str">
        <f t="shared" si="148"/>
        <v>C04C</v>
      </c>
      <c r="K475" s="1" t="str">
        <f t="shared" si="148"/>
        <v>C04C</v>
      </c>
      <c r="L475" s="1" t="str">
        <f t="shared" si="142"/>
        <v>R</v>
      </c>
      <c r="M475" s="1" t="str">
        <f t="shared" si="149"/>
        <v>T03</v>
      </c>
      <c r="N475" s="1" t="str">
        <f t="shared" si="141"/>
        <v>Y</v>
      </c>
      <c r="O475" s="1" t="str">
        <f t="shared" si="141"/>
        <v>Y</v>
      </c>
      <c r="P475" s="1" t="str">
        <f t="shared" si="143"/>
        <v>Y</v>
      </c>
      <c r="Q475" s="1" t="str">
        <f t="shared" si="135"/>
        <v>A</v>
      </c>
    </row>
    <row r="476" spans="1:17" x14ac:dyDescent="0.3">
      <c r="A476" s="1" t="str">
        <f t="shared" si="139"/>
        <v>C</v>
      </c>
      <c r="B476" s="1" t="str">
        <f>"LTS403BB"</f>
        <v>LTS403BB</v>
      </c>
      <c r="C476" s="1" t="str">
        <f>"청력저하"</f>
        <v>청력저하</v>
      </c>
      <c r="D476" s="1" t="str">
        <f>"청력저하 소견 보입니다. 진단받은 병력이 없다면 이비인후과 진료 받으시기 바랍니다."</f>
        <v>청력저하 소견 보입니다. 진단받은 병력이 없다면 이비인후과 진료 받으시기 바랍니다.</v>
      </c>
      <c r="E476" s="1" t="str">
        <f t="shared" si="144"/>
        <v>WOK02</v>
      </c>
      <c r="F476" s="1" t="str">
        <f t="shared" si="145"/>
        <v>PTM01</v>
      </c>
      <c r="G476" s="1" t="str">
        <f>"DISH"</f>
        <v>DISH</v>
      </c>
      <c r="H476" s="1" t="str">
        <f>"REL19"</f>
        <v>REL19</v>
      </c>
      <c r="I476" s="1" t="str">
        <f>""</f>
        <v/>
      </c>
      <c r="J476" s="1" t="str">
        <f>""</f>
        <v/>
      </c>
      <c r="K476" s="1" t="str">
        <f>""</f>
        <v/>
      </c>
      <c r="L476" s="1" t="str">
        <f t="shared" si="142"/>
        <v>R</v>
      </c>
      <c r="M476" s="1" t="str">
        <f>"T10"</f>
        <v>T10</v>
      </c>
      <c r="N476" s="1" t="str">
        <f t="shared" ref="N476:N539" si="150">"Y"</f>
        <v>Y</v>
      </c>
      <c r="O476" s="1" t="str">
        <f>"N"</f>
        <v>N</v>
      </c>
      <c r="P476" s="1" t="str">
        <f t="shared" si="143"/>
        <v>Y</v>
      </c>
      <c r="Q476" s="1" t="str">
        <f t="shared" si="135"/>
        <v>A</v>
      </c>
    </row>
    <row r="477" spans="1:17" x14ac:dyDescent="0.3">
      <c r="A477" s="1" t="str">
        <f t="shared" si="139"/>
        <v>C</v>
      </c>
      <c r="B477" s="1" t="str">
        <f>"M0002"</f>
        <v>M0002</v>
      </c>
      <c r="C477" s="1" t="str">
        <f>"단백뇨 주의"</f>
        <v>단백뇨 주의</v>
      </c>
      <c r="D477" s="1" t="str">
        <f>"고혈압에 의해 신장손상이 발생할 수 있습니다. 내과 진료를 받으시기 바랍니다."</f>
        <v>고혈압에 의해 신장손상이 발생할 수 있습니다. 내과 진료를 받으시기 바랍니다.</v>
      </c>
      <c r="E477" s="1" t="str">
        <f t="shared" si="144"/>
        <v>WOK02</v>
      </c>
      <c r="F477" s="1" t="str">
        <f>"PTM03"</f>
        <v>PTM03</v>
      </c>
      <c r="G477" s="1" t="str">
        <f>"DISN"</f>
        <v>DISN</v>
      </c>
      <c r="H477" s="1" t="str">
        <f>"REL08"</f>
        <v>REL08</v>
      </c>
      <c r="I477" s="1" t="str">
        <f>""</f>
        <v/>
      </c>
      <c r="J477" s="1" t="str">
        <f>"C07C"</f>
        <v>C07C</v>
      </c>
      <c r="K477" s="1" t="str">
        <f>"C07C"</f>
        <v>C07C</v>
      </c>
      <c r="L477" s="1" t="str">
        <f t="shared" si="142"/>
        <v>R</v>
      </c>
      <c r="M477" s="1" t="str">
        <f>"T05"</f>
        <v>T05</v>
      </c>
      <c r="N477" s="1" t="str">
        <f t="shared" si="150"/>
        <v>Y</v>
      </c>
      <c r="O477" s="1" t="str">
        <f t="shared" ref="O477:O508" si="151">"Y"</f>
        <v>Y</v>
      </c>
      <c r="P477" s="1" t="str">
        <f t="shared" si="143"/>
        <v>Y</v>
      </c>
      <c r="Q477" s="1" t="str">
        <f t="shared" si="135"/>
        <v>A</v>
      </c>
    </row>
    <row r="478" spans="1:17" x14ac:dyDescent="0.3">
      <c r="A478" s="1" t="str">
        <f t="shared" si="139"/>
        <v>C</v>
      </c>
      <c r="B478" s="1" t="str">
        <f>"OSTEO3"</f>
        <v>OSTEO3</v>
      </c>
      <c r="C478" s="1" t="str">
        <f>"골밀도 검사상 골다공증 의심"</f>
        <v>골밀도 검사상 골다공증 의심</v>
      </c>
      <c r="D478" s="1" t="s">
        <v>131</v>
      </c>
      <c r="E478" s="1" t="str">
        <f t="shared" si="144"/>
        <v>WOK02</v>
      </c>
      <c r="F478" s="1" t="str">
        <f>"PTM04"</f>
        <v>PTM04</v>
      </c>
      <c r="G478" s="1" t="str">
        <f>"DISE"</f>
        <v>DISE</v>
      </c>
      <c r="H478" s="1" t="str">
        <f>"REL32"</f>
        <v>REL32</v>
      </c>
      <c r="I478" s="1" t="str">
        <f>""</f>
        <v/>
      </c>
      <c r="J478" s="1" t="str">
        <f>"C35D"</f>
        <v>C35D</v>
      </c>
      <c r="K478" s="1" t="str">
        <f>"C01D"</f>
        <v>C01D</v>
      </c>
      <c r="L478" s="1" t="str">
        <f t="shared" si="142"/>
        <v>R</v>
      </c>
      <c r="M478" s="1" t="str">
        <f>"T21"</f>
        <v>T21</v>
      </c>
      <c r="N478" s="1" t="str">
        <f t="shared" si="150"/>
        <v>Y</v>
      </c>
      <c r="O478" s="1" t="str">
        <f t="shared" si="151"/>
        <v>Y</v>
      </c>
      <c r="P478" s="1" t="str">
        <f t="shared" si="143"/>
        <v>Y</v>
      </c>
      <c r="Q478" s="1" t="str">
        <f t="shared" si="135"/>
        <v>A</v>
      </c>
    </row>
    <row r="479" spans="1:17" x14ac:dyDescent="0.3">
      <c r="A479" s="1" t="str">
        <f t="shared" si="139"/>
        <v>C</v>
      </c>
      <c r="B479" s="1" t="str">
        <f>"PLAJB02"</f>
        <v>PLAJB02</v>
      </c>
      <c r="C479" s="1" t="str">
        <f>"혈소판 감소"</f>
        <v>혈소판 감소</v>
      </c>
      <c r="D479" s="1" t="str">
        <f>"혈액검사에서 혈소판수가 감소하였습니다. 일시적인 현상일 가능성 높으나 드물게 혈액질환에 의해 발생할 수 있습니다. 다음 검사시에 추적관찰 바랍니다."</f>
        <v>혈액검사에서 혈소판수가 감소하였습니다. 일시적인 현상일 가능성 높으나 드물게 혈액질환에 의해 발생할 수 있습니다. 다음 검사시에 추적관찰 바랍니다.</v>
      </c>
      <c r="E479" s="1" t="str">
        <f t="shared" si="144"/>
        <v>WOK02</v>
      </c>
      <c r="F479" s="1" t="str">
        <f>"PTM03"</f>
        <v>PTM03</v>
      </c>
      <c r="G479" s="1" t="str">
        <f>"DISD"</f>
        <v>DISD</v>
      </c>
      <c r="H479" s="1" t="str">
        <f>"REL12"</f>
        <v>REL12</v>
      </c>
      <c r="I479" s="1" t="str">
        <f>""</f>
        <v/>
      </c>
      <c r="J479" s="1" t="str">
        <f>""</f>
        <v/>
      </c>
      <c r="K479" s="1" t="str">
        <f>""</f>
        <v/>
      </c>
      <c r="L479" s="1" t="str">
        <f t="shared" si="142"/>
        <v>R</v>
      </c>
      <c r="M479" s="1" t="str">
        <f>"T01"</f>
        <v>T01</v>
      </c>
      <c r="N479" s="1" t="str">
        <f t="shared" si="150"/>
        <v>Y</v>
      </c>
      <c r="O479" s="1" t="str">
        <f t="shared" si="151"/>
        <v>Y</v>
      </c>
      <c r="P479" s="1" t="str">
        <f t="shared" si="143"/>
        <v>Y</v>
      </c>
      <c r="Q479" s="1" t="str">
        <f t="shared" si="135"/>
        <v>A</v>
      </c>
    </row>
    <row r="480" spans="1:17" x14ac:dyDescent="0.3">
      <c r="A480" s="1" t="str">
        <f t="shared" si="139"/>
        <v>C</v>
      </c>
      <c r="B480" s="1" t="str">
        <f>"PTULT5"</f>
        <v>PTULT5</v>
      </c>
      <c r="C480" s="1" t="str">
        <f>"단백뇨주의"</f>
        <v>단백뇨주의</v>
      </c>
      <c r="D480" s="1" t="s">
        <v>132</v>
      </c>
      <c r="E480" s="1" t="str">
        <f t="shared" si="144"/>
        <v>WOK02</v>
      </c>
      <c r="F480" s="1" t="str">
        <f>"PTM03"</f>
        <v>PTM03</v>
      </c>
      <c r="G480" s="1" t="str">
        <f>"DISN"</f>
        <v>DISN</v>
      </c>
      <c r="H480" s="1" t="str">
        <f>"REL08"</f>
        <v>REL08</v>
      </c>
      <c r="I480" s="1" t="str">
        <f>""</f>
        <v/>
      </c>
      <c r="J480" s="1" t="str">
        <f>"C07C"</f>
        <v>C07C</v>
      </c>
      <c r="K480" s="1" t="str">
        <f>"C07C"</f>
        <v>C07C</v>
      </c>
      <c r="L480" s="1" t="str">
        <f t="shared" si="142"/>
        <v>R</v>
      </c>
      <c r="M480" s="1" t="str">
        <f>"T05"</f>
        <v>T05</v>
      </c>
      <c r="N480" s="1" t="str">
        <f t="shared" si="150"/>
        <v>Y</v>
      </c>
      <c r="O480" s="1" t="str">
        <f t="shared" si="151"/>
        <v>Y</v>
      </c>
      <c r="P480" s="1" t="str">
        <f t="shared" si="143"/>
        <v>Y</v>
      </c>
      <c r="Q480" s="1" t="str">
        <f t="shared" si="135"/>
        <v>A</v>
      </c>
    </row>
    <row r="481" spans="1:17" x14ac:dyDescent="0.3">
      <c r="A481" s="1" t="str">
        <f t="shared" ref="A481:A494" si="152">"C"</f>
        <v>C</v>
      </c>
      <c r="B481" s="1" t="str">
        <f>"PTULT6"</f>
        <v>PTULT6</v>
      </c>
      <c r="C481" s="1" t="str">
        <f>"요단백검출"</f>
        <v>요단백검출</v>
      </c>
      <c r="D481" s="1" t="str">
        <f>"과로나 심한 운동시 일시적으로 나타날 수 있습니다. 신장질환 시에도 발생할 수 있으니 소아청소년과 진료를 통한 재검사를 받아보시기 바랍니다."</f>
        <v>과로나 심한 운동시 일시적으로 나타날 수 있습니다. 신장질환 시에도 발생할 수 있으니 소아청소년과 진료를 통한 재검사를 받아보시기 바랍니다.</v>
      </c>
      <c r="E481" s="1" t="str">
        <f t="shared" si="144"/>
        <v>WOK02</v>
      </c>
      <c r="F481" s="1" t="str">
        <f>"PTM03"</f>
        <v>PTM03</v>
      </c>
      <c r="G481" s="1" t="str">
        <f>"DISN"</f>
        <v>DISN</v>
      </c>
      <c r="H481" s="1" t="str">
        <f>"REL08"</f>
        <v>REL08</v>
      </c>
      <c r="I481" s="1" t="str">
        <f>""</f>
        <v/>
      </c>
      <c r="J481" s="1" t="str">
        <f>"C07C"</f>
        <v>C07C</v>
      </c>
      <c r="K481" s="1" t="str">
        <f>"C07C"</f>
        <v>C07C</v>
      </c>
      <c r="L481" s="1" t="str">
        <f t="shared" si="142"/>
        <v>R</v>
      </c>
      <c r="M481" s="1" t="str">
        <f>"T05"</f>
        <v>T05</v>
      </c>
      <c r="N481" s="1" t="str">
        <f t="shared" si="150"/>
        <v>Y</v>
      </c>
      <c r="O481" s="1" t="str">
        <f t="shared" si="151"/>
        <v>Y</v>
      </c>
      <c r="P481" s="1" t="str">
        <f t="shared" si="143"/>
        <v>Y</v>
      </c>
      <c r="Q481" s="1" t="str">
        <f t="shared" si="135"/>
        <v>A</v>
      </c>
    </row>
    <row r="482" spans="1:17" x14ac:dyDescent="0.3">
      <c r="A482" s="1" t="str">
        <f t="shared" si="152"/>
        <v>C</v>
      </c>
      <c r="B482" s="1" t="str">
        <f>"PUL203"</f>
        <v>PUL203</v>
      </c>
      <c r="C482" s="1" t="str">
        <f>"흉막 유착"</f>
        <v>흉막 유착</v>
      </c>
      <c r="D482" s="1" t="s">
        <v>133</v>
      </c>
      <c r="E482" s="1" t="str">
        <f t="shared" si="144"/>
        <v>WOK02</v>
      </c>
      <c r="F482" s="1" t="str">
        <f>"PTM03"</f>
        <v>PTM03</v>
      </c>
      <c r="G482" s="1" t="str">
        <f t="shared" ref="G482:G493" si="153">"DISJ"</f>
        <v>DISJ</v>
      </c>
      <c r="H482" s="1" t="str">
        <f t="shared" ref="H482:H493" si="154">"REL02"</f>
        <v>REL02</v>
      </c>
      <c r="I482" s="1" t="str">
        <f>""</f>
        <v/>
      </c>
      <c r="J482" s="1" t="str">
        <f t="shared" ref="J482:K493" si="155">"C02C"</f>
        <v>C02C</v>
      </c>
      <c r="K482" s="1" t="str">
        <f t="shared" si="155"/>
        <v>C02C</v>
      </c>
      <c r="L482" s="1" t="str">
        <f t="shared" si="142"/>
        <v>R</v>
      </c>
      <c r="M482" s="1" t="str">
        <f t="shared" ref="M482:M493" si="156">"T04"</f>
        <v>T04</v>
      </c>
      <c r="N482" s="1" t="str">
        <f t="shared" si="150"/>
        <v>Y</v>
      </c>
      <c r="O482" s="1" t="str">
        <f t="shared" si="151"/>
        <v>Y</v>
      </c>
      <c r="P482" s="1" t="str">
        <f t="shared" si="143"/>
        <v>Y</v>
      </c>
      <c r="Q482" s="1" t="str">
        <f t="shared" si="135"/>
        <v>A</v>
      </c>
    </row>
    <row r="483" spans="1:17" x14ac:dyDescent="0.3">
      <c r="A483" s="1" t="str">
        <f t="shared" si="152"/>
        <v>C</v>
      </c>
      <c r="B483" s="1" t="str">
        <f>"PUL204"</f>
        <v>PUL204</v>
      </c>
      <c r="C483" s="1" t="str">
        <f>"흉막 유착"</f>
        <v>흉막 유착</v>
      </c>
      <c r="D483" s="1" t="s">
        <v>133</v>
      </c>
      <c r="E483" s="1" t="str">
        <f>"WOK01"</f>
        <v>WOK01</v>
      </c>
      <c r="F483" s="1" t="str">
        <f>"PTM01"</f>
        <v>PTM01</v>
      </c>
      <c r="G483" s="1" t="str">
        <f t="shared" si="153"/>
        <v>DISJ</v>
      </c>
      <c r="H483" s="1" t="str">
        <f t="shared" si="154"/>
        <v>REL02</v>
      </c>
      <c r="I483" s="1" t="str">
        <f>""</f>
        <v/>
      </c>
      <c r="J483" s="1" t="str">
        <f t="shared" si="155"/>
        <v>C02C</v>
      </c>
      <c r="K483" s="1" t="str">
        <f t="shared" si="155"/>
        <v>C02C</v>
      </c>
      <c r="L483" s="1" t="str">
        <f t="shared" si="142"/>
        <v>R</v>
      </c>
      <c r="M483" s="1" t="str">
        <f t="shared" si="156"/>
        <v>T04</v>
      </c>
      <c r="N483" s="1" t="str">
        <f t="shared" si="150"/>
        <v>Y</v>
      </c>
      <c r="O483" s="1" t="str">
        <f t="shared" si="151"/>
        <v>Y</v>
      </c>
      <c r="P483" s="1" t="str">
        <f t="shared" si="143"/>
        <v>Y</v>
      </c>
      <c r="Q483" s="1" t="str">
        <f t="shared" si="135"/>
        <v>A</v>
      </c>
    </row>
    <row r="484" spans="1:17" x14ac:dyDescent="0.3">
      <c r="A484" s="1" t="str">
        <f t="shared" si="152"/>
        <v>C</v>
      </c>
      <c r="B484" s="1" t="str">
        <f>"PUL215"</f>
        <v>PUL215</v>
      </c>
      <c r="C484" s="1" t="str">
        <f>"석회화 결절"</f>
        <v>석회화 결절</v>
      </c>
      <c r="D484" s="1" t="str">
        <f>"과거 염증 후에 남은 흔적으로 보입니다. 정기적으로 확인해보세요."</f>
        <v>과거 염증 후에 남은 흔적으로 보입니다. 정기적으로 확인해보세요.</v>
      </c>
      <c r="E484" s="1" t="str">
        <f t="shared" ref="E484:E499" si="157">"WOK02"</f>
        <v>WOK02</v>
      </c>
      <c r="F484" s="1" t="str">
        <f>"PTM01"</f>
        <v>PTM01</v>
      </c>
      <c r="G484" s="1" t="str">
        <f t="shared" si="153"/>
        <v>DISJ</v>
      </c>
      <c r="H484" s="1" t="str">
        <f t="shared" si="154"/>
        <v>REL02</v>
      </c>
      <c r="I484" s="1" t="str">
        <f>""</f>
        <v/>
      </c>
      <c r="J484" s="1" t="str">
        <f t="shared" si="155"/>
        <v>C02C</v>
      </c>
      <c r="K484" s="1" t="str">
        <f t="shared" si="155"/>
        <v>C02C</v>
      </c>
      <c r="L484" s="1" t="str">
        <f t="shared" si="142"/>
        <v>R</v>
      </c>
      <c r="M484" s="1" t="str">
        <f t="shared" si="156"/>
        <v>T04</v>
      </c>
      <c r="N484" s="1" t="str">
        <f t="shared" si="150"/>
        <v>Y</v>
      </c>
      <c r="O484" s="1" t="str">
        <f t="shared" si="151"/>
        <v>Y</v>
      </c>
      <c r="P484" s="1" t="str">
        <f t="shared" si="143"/>
        <v>Y</v>
      </c>
      <c r="Q484" s="1" t="str">
        <f t="shared" si="135"/>
        <v>A</v>
      </c>
    </row>
    <row r="485" spans="1:17" x14ac:dyDescent="0.3">
      <c r="A485" s="1" t="str">
        <f t="shared" si="152"/>
        <v>C</v>
      </c>
      <c r="B485" s="1" t="str">
        <f>"PUL217"</f>
        <v>PUL217</v>
      </c>
      <c r="C485" s="1" t="str">
        <f>"폐결절 의증"</f>
        <v>폐결절 의증</v>
      </c>
      <c r="D485" s="1" t="s">
        <v>134</v>
      </c>
      <c r="E485" s="1" t="str">
        <f t="shared" si="157"/>
        <v>WOK02</v>
      </c>
      <c r="F485" s="1" t="str">
        <f>"PTM00"</f>
        <v>PTM00</v>
      </c>
      <c r="G485" s="1" t="str">
        <f t="shared" si="153"/>
        <v>DISJ</v>
      </c>
      <c r="H485" s="1" t="str">
        <f t="shared" si="154"/>
        <v>REL02</v>
      </c>
      <c r="I485" s="1" t="str">
        <f>""</f>
        <v/>
      </c>
      <c r="J485" s="1" t="str">
        <f t="shared" si="155"/>
        <v>C02C</v>
      </c>
      <c r="K485" s="1" t="str">
        <f t="shared" si="155"/>
        <v>C02C</v>
      </c>
      <c r="L485" s="1" t="str">
        <f t="shared" si="142"/>
        <v>R</v>
      </c>
      <c r="M485" s="1" t="str">
        <f t="shared" si="156"/>
        <v>T04</v>
      </c>
      <c r="N485" s="1" t="str">
        <f t="shared" si="150"/>
        <v>Y</v>
      </c>
      <c r="O485" s="1" t="str">
        <f t="shared" si="151"/>
        <v>Y</v>
      </c>
      <c r="P485" s="1" t="str">
        <f t="shared" si="143"/>
        <v>Y</v>
      </c>
      <c r="Q485" s="1" t="str">
        <f t="shared" si="135"/>
        <v>A</v>
      </c>
    </row>
    <row r="486" spans="1:17" x14ac:dyDescent="0.3">
      <c r="A486" s="1" t="str">
        <f t="shared" si="152"/>
        <v>C</v>
      </c>
      <c r="B486" s="1" t="str">
        <f>"PUL218"</f>
        <v>PUL218</v>
      </c>
      <c r="C486" s="1" t="str">
        <f>"폐-비특이적 섬유화"</f>
        <v>폐-비특이적 섬유화</v>
      </c>
      <c r="D486" s="1" t="str">
        <f>"과거의 염증 흔적으로 보입니다. 정기적으로 확인하시기 바랍니다."</f>
        <v>과거의 염증 흔적으로 보입니다. 정기적으로 확인하시기 바랍니다.</v>
      </c>
      <c r="E486" s="1" t="str">
        <f t="shared" si="157"/>
        <v>WOK02</v>
      </c>
      <c r="F486" s="1" t="str">
        <f>"PTM01"</f>
        <v>PTM01</v>
      </c>
      <c r="G486" s="1" t="str">
        <f t="shared" si="153"/>
        <v>DISJ</v>
      </c>
      <c r="H486" s="1" t="str">
        <f t="shared" si="154"/>
        <v>REL02</v>
      </c>
      <c r="I486" s="1" t="str">
        <f>""</f>
        <v/>
      </c>
      <c r="J486" s="1" t="str">
        <f t="shared" si="155"/>
        <v>C02C</v>
      </c>
      <c r="K486" s="1" t="str">
        <f t="shared" si="155"/>
        <v>C02C</v>
      </c>
      <c r="L486" s="1" t="str">
        <f t="shared" si="142"/>
        <v>R</v>
      </c>
      <c r="M486" s="1" t="str">
        <f t="shared" si="156"/>
        <v>T04</v>
      </c>
      <c r="N486" s="1" t="str">
        <f t="shared" si="150"/>
        <v>Y</v>
      </c>
      <c r="O486" s="1" t="str">
        <f t="shared" si="151"/>
        <v>Y</v>
      </c>
      <c r="P486" s="1" t="str">
        <f t="shared" si="143"/>
        <v>Y</v>
      </c>
      <c r="Q486" s="1" t="str">
        <f t="shared" si="135"/>
        <v>A</v>
      </c>
    </row>
    <row r="487" spans="1:17" x14ac:dyDescent="0.3">
      <c r="A487" s="1" t="str">
        <f t="shared" si="152"/>
        <v>C</v>
      </c>
      <c r="B487" s="1" t="str">
        <f>"PUL219"</f>
        <v>PUL219</v>
      </c>
      <c r="C487" s="1" t="str">
        <f>"석회화 육아종"</f>
        <v>석회화 육아종</v>
      </c>
      <c r="D487" s="1" t="str">
        <f>"흉부방사선검사 석회화 육아종 소견입니다. 양성 결절로 증상이 없다면 특별한 치료가 필요하지 않으므로 다음 검사 시에 추적관찰 바랍니다."</f>
        <v>흉부방사선검사 석회화 육아종 소견입니다. 양성 결절로 증상이 없다면 특별한 치료가 필요하지 않으므로 다음 검사 시에 추적관찰 바랍니다.</v>
      </c>
      <c r="E487" s="1" t="str">
        <f t="shared" si="157"/>
        <v>WOK02</v>
      </c>
      <c r="F487" s="1" t="str">
        <f>"PTM03"</f>
        <v>PTM03</v>
      </c>
      <c r="G487" s="1" t="str">
        <f t="shared" si="153"/>
        <v>DISJ</v>
      </c>
      <c r="H487" s="1" t="str">
        <f t="shared" si="154"/>
        <v>REL02</v>
      </c>
      <c r="I487" s="1" t="str">
        <f>""</f>
        <v/>
      </c>
      <c r="J487" s="1" t="str">
        <f t="shared" si="155"/>
        <v>C02C</v>
      </c>
      <c r="K487" s="1" t="str">
        <f t="shared" si="155"/>
        <v>C02C</v>
      </c>
      <c r="L487" s="1" t="str">
        <f t="shared" si="142"/>
        <v>R</v>
      </c>
      <c r="M487" s="1" t="str">
        <f t="shared" si="156"/>
        <v>T04</v>
      </c>
      <c r="N487" s="1" t="str">
        <f t="shared" si="150"/>
        <v>Y</v>
      </c>
      <c r="O487" s="1" t="str">
        <f t="shared" si="151"/>
        <v>Y</v>
      </c>
      <c r="P487" s="1" t="str">
        <f t="shared" si="143"/>
        <v>Y</v>
      </c>
      <c r="Q487" s="1" t="str">
        <f t="shared" ref="Q487:Q509" si="158">"A"</f>
        <v>A</v>
      </c>
    </row>
    <row r="488" spans="1:17" x14ac:dyDescent="0.3">
      <c r="A488" s="1" t="str">
        <f t="shared" si="152"/>
        <v>C</v>
      </c>
      <c r="B488" s="1" t="str">
        <f>"PUL304"</f>
        <v>PUL304</v>
      </c>
      <c r="C488" s="1" t="str">
        <f>"기관지 확장증 의심"</f>
        <v>기관지 확장증 의심</v>
      </c>
      <c r="D488" s="1" t="str">
        <f>"기관지 확장증이 의심됩니다. 정확한 진단을 위해 호흡기 내과 진료를 받으시기 바랍니다."</f>
        <v>기관지 확장증이 의심됩니다. 정확한 진단을 위해 호흡기 내과 진료를 받으시기 바랍니다.</v>
      </c>
      <c r="E488" s="1" t="str">
        <f t="shared" si="157"/>
        <v>WOK02</v>
      </c>
      <c r="F488" s="1" t="str">
        <f t="shared" ref="F488:F494" si="159">"PTM01"</f>
        <v>PTM01</v>
      </c>
      <c r="G488" s="1" t="str">
        <f t="shared" si="153"/>
        <v>DISJ</v>
      </c>
      <c r="H488" s="1" t="str">
        <f t="shared" si="154"/>
        <v>REL02</v>
      </c>
      <c r="I488" s="1" t="str">
        <f>""</f>
        <v/>
      </c>
      <c r="J488" s="1" t="str">
        <f t="shared" si="155"/>
        <v>C02C</v>
      </c>
      <c r="K488" s="1" t="str">
        <f t="shared" si="155"/>
        <v>C02C</v>
      </c>
      <c r="L488" s="1" t="str">
        <f t="shared" si="142"/>
        <v>R</v>
      </c>
      <c r="M488" s="1" t="str">
        <f t="shared" si="156"/>
        <v>T04</v>
      </c>
      <c r="N488" s="1" t="str">
        <f t="shared" si="150"/>
        <v>Y</v>
      </c>
      <c r="O488" s="1" t="str">
        <f t="shared" si="151"/>
        <v>Y</v>
      </c>
      <c r="P488" s="1" t="str">
        <f t="shared" si="143"/>
        <v>Y</v>
      </c>
      <c r="Q488" s="1" t="str">
        <f t="shared" si="158"/>
        <v>A</v>
      </c>
    </row>
    <row r="489" spans="1:17" x14ac:dyDescent="0.3">
      <c r="A489" s="1" t="str">
        <f t="shared" si="152"/>
        <v>C</v>
      </c>
      <c r="B489" s="1" t="str">
        <f>"PUL304H"</f>
        <v>PUL304H</v>
      </c>
      <c r="C489" s="1" t="str">
        <f>"기관지 확장증 의심"</f>
        <v>기관지 확장증 의심</v>
      </c>
      <c r="D489" s="1" t="s">
        <v>135</v>
      </c>
      <c r="E489" s="1" t="str">
        <f t="shared" si="157"/>
        <v>WOK02</v>
      </c>
      <c r="F489" s="1" t="str">
        <f t="shared" si="159"/>
        <v>PTM01</v>
      </c>
      <c r="G489" s="1" t="str">
        <f t="shared" si="153"/>
        <v>DISJ</v>
      </c>
      <c r="H489" s="1" t="str">
        <f t="shared" si="154"/>
        <v>REL02</v>
      </c>
      <c r="I489" s="1" t="str">
        <f>""</f>
        <v/>
      </c>
      <c r="J489" s="1" t="str">
        <f t="shared" si="155"/>
        <v>C02C</v>
      </c>
      <c r="K489" s="1" t="str">
        <f t="shared" si="155"/>
        <v>C02C</v>
      </c>
      <c r="L489" s="1" t="str">
        <f t="shared" si="142"/>
        <v>R</v>
      </c>
      <c r="M489" s="1" t="str">
        <f t="shared" si="156"/>
        <v>T04</v>
      </c>
      <c r="N489" s="1" t="str">
        <f t="shared" si="150"/>
        <v>Y</v>
      </c>
      <c r="O489" s="1" t="str">
        <f t="shared" si="151"/>
        <v>Y</v>
      </c>
      <c r="P489" s="1" t="str">
        <f t="shared" si="143"/>
        <v>Y</v>
      </c>
      <c r="Q489" s="1" t="str">
        <f t="shared" si="158"/>
        <v>A</v>
      </c>
    </row>
    <row r="490" spans="1:17" x14ac:dyDescent="0.3">
      <c r="A490" s="1" t="str">
        <f t="shared" si="152"/>
        <v>C</v>
      </c>
      <c r="B490" s="1" t="str">
        <f>"PUL304T"</f>
        <v>PUL304T</v>
      </c>
      <c r="C490" s="1" t="str">
        <f>"기관지 확장증 의심"</f>
        <v>기관지 확장증 의심</v>
      </c>
      <c r="D490" s="1" t="str">
        <f>"기관지 확장증이 의심됩니다. 정확한 진단을 위해 호흡기 내과 진료를 받으시기 바랍니다."</f>
        <v>기관지 확장증이 의심됩니다. 정확한 진단을 위해 호흡기 내과 진료를 받으시기 바랍니다.</v>
      </c>
      <c r="E490" s="1" t="str">
        <f t="shared" si="157"/>
        <v>WOK02</v>
      </c>
      <c r="F490" s="1" t="str">
        <f t="shared" si="159"/>
        <v>PTM01</v>
      </c>
      <c r="G490" s="1" t="str">
        <f t="shared" si="153"/>
        <v>DISJ</v>
      </c>
      <c r="H490" s="1" t="str">
        <f t="shared" si="154"/>
        <v>REL02</v>
      </c>
      <c r="I490" s="1" t="str">
        <f>""</f>
        <v/>
      </c>
      <c r="J490" s="1" t="str">
        <f t="shared" si="155"/>
        <v>C02C</v>
      </c>
      <c r="K490" s="1" t="str">
        <f t="shared" si="155"/>
        <v>C02C</v>
      </c>
      <c r="L490" s="1" t="str">
        <f t="shared" si="142"/>
        <v>R</v>
      </c>
      <c r="M490" s="1" t="str">
        <f t="shared" si="156"/>
        <v>T04</v>
      </c>
      <c r="N490" s="1" t="str">
        <f t="shared" si="150"/>
        <v>Y</v>
      </c>
      <c r="O490" s="1" t="str">
        <f t="shared" si="151"/>
        <v>Y</v>
      </c>
      <c r="P490" s="1" t="str">
        <f t="shared" si="143"/>
        <v>Y</v>
      </c>
      <c r="Q490" s="1" t="str">
        <f t="shared" si="158"/>
        <v>A</v>
      </c>
    </row>
    <row r="491" spans="1:17" x14ac:dyDescent="0.3">
      <c r="A491" s="1" t="str">
        <f t="shared" si="152"/>
        <v>C</v>
      </c>
      <c r="B491" s="1" t="str">
        <f>"PUL306"</f>
        <v>PUL306</v>
      </c>
      <c r="C491" s="1" t="str">
        <f>"무기폐 의심"</f>
        <v>무기폐 의심</v>
      </c>
      <c r="D491" s="1" t="str">
        <f>"폐에 공기가 들어가지 않는 부분이 일부 보입니다. 정확한 진단과 치료를 위해 호흡기내과 진료를 받아보시기 바랍니다."</f>
        <v>폐에 공기가 들어가지 않는 부분이 일부 보입니다. 정확한 진단과 치료를 위해 호흡기내과 진료를 받아보시기 바랍니다.</v>
      </c>
      <c r="E491" s="1" t="str">
        <f t="shared" si="157"/>
        <v>WOK02</v>
      </c>
      <c r="F491" s="1" t="str">
        <f t="shared" si="159"/>
        <v>PTM01</v>
      </c>
      <c r="G491" s="1" t="str">
        <f t="shared" si="153"/>
        <v>DISJ</v>
      </c>
      <c r="H491" s="1" t="str">
        <f t="shared" si="154"/>
        <v>REL02</v>
      </c>
      <c r="I491" s="1" t="str">
        <f>""</f>
        <v/>
      </c>
      <c r="J491" s="1" t="str">
        <f t="shared" si="155"/>
        <v>C02C</v>
      </c>
      <c r="K491" s="1" t="str">
        <f t="shared" si="155"/>
        <v>C02C</v>
      </c>
      <c r="L491" s="1" t="str">
        <f t="shared" si="142"/>
        <v>R</v>
      </c>
      <c r="M491" s="1" t="str">
        <f t="shared" si="156"/>
        <v>T04</v>
      </c>
      <c r="N491" s="1" t="str">
        <f t="shared" si="150"/>
        <v>Y</v>
      </c>
      <c r="O491" s="1" t="str">
        <f t="shared" si="151"/>
        <v>Y</v>
      </c>
      <c r="P491" s="1" t="str">
        <f t="shared" si="143"/>
        <v>Y</v>
      </c>
      <c r="Q491" s="1" t="str">
        <f t="shared" si="158"/>
        <v>A</v>
      </c>
    </row>
    <row r="492" spans="1:17" x14ac:dyDescent="0.3">
      <c r="A492" s="1" t="str">
        <f t="shared" si="152"/>
        <v>C</v>
      </c>
      <c r="B492" s="1" t="str">
        <f>"PUL307"</f>
        <v>PUL307</v>
      </c>
      <c r="C492" s="1" t="str">
        <f>"소엽성 무기폐"</f>
        <v>소엽성 무기폐</v>
      </c>
      <c r="D492" s="1" t="str">
        <f>"호흡기 내과 진료 필요"</f>
        <v>호흡기 내과 진료 필요</v>
      </c>
      <c r="E492" s="1" t="str">
        <f t="shared" si="157"/>
        <v>WOK02</v>
      </c>
      <c r="F492" s="1" t="str">
        <f t="shared" si="159"/>
        <v>PTM01</v>
      </c>
      <c r="G492" s="1" t="str">
        <f t="shared" si="153"/>
        <v>DISJ</v>
      </c>
      <c r="H492" s="1" t="str">
        <f t="shared" si="154"/>
        <v>REL02</v>
      </c>
      <c r="I492" s="1" t="str">
        <f>""</f>
        <v/>
      </c>
      <c r="J492" s="1" t="str">
        <f t="shared" si="155"/>
        <v>C02C</v>
      </c>
      <c r="K492" s="1" t="str">
        <f t="shared" si="155"/>
        <v>C02C</v>
      </c>
      <c r="L492" s="1" t="str">
        <f t="shared" si="142"/>
        <v>R</v>
      </c>
      <c r="M492" s="1" t="str">
        <f t="shared" si="156"/>
        <v>T04</v>
      </c>
      <c r="N492" s="1" t="str">
        <f t="shared" si="150"/>
        <v>Y</v>
      </c>
      <c r="O492" s="1" t="str">
        <f t="shared" si="151"/>
        <v>Y</v>
      </c>
      <c r="P492" s="1" t="str">
        <f t="shared" si="143"/>
        <v>Y</v>
      </c>
      <c r="Q492" s="1" t="str">
        <f t="shared" si="158"/>
        <v>A</v>
      </c>
    </row>
    <row r="493" spans="1:17" x14ac:dyDescent="0.3">
      <c r="A493" s="1" t="str">
        <f t="shared" si="152"/>
        <v>C</v>
      </c>
      <c r="B493" s="1" t="str">
        <f>"PUL335"</f>
        <v>PUL335</v>
      </c>
      <c r="C493" s="1" t="str">
        <f>"폐결절의증"</f>
        <v>폐결절의증</v>
      </c>
      <c r="D493" s="1" t="str">
        <f>"폐결절이 의심되어 과거 흉부촬영 사진과 영상을 대조하거나 3개월후 추적검사 권합니다."</f>
        <v>폐결절이 의심되어 과거 흉부촬영 사진과 영상을 대조하거나 3개월후 추적검사 권합니다.</v>
      </c>
      <c r="E493" s="1" t="str">
        <f t="shared" si="157"/>
        <v>WOK02</v>
      </c>
      <c r="F493" s="1" t="str">
        <f t="shared" si="159"/>
        <v>PTM01</v>
      </c>
      <c r="G493" s="1" t="str">
        <f t="shared" si="153"/>
        <v>DISJ</v>
      </c>
      <c r="H493" s="1" t="str">
        <f t="shared" si="154"/>
        <v>REL02</v>
      </c>
      <c r="I493" s="1" t="str">
        <f>""</f>
        <v/>
      </c>
      <c r="J493" s="1" t="str">
        <f t="shared" si="155"/>
        <v>C02C</v>
      </c>
      <c r="K493" s="1" t="str">
        <f t="shared" si="155"/>
        <v>C02C</v>
      </c>
      <c r="L493" s="1" t="str">
        <f t="shared" si="142"/>
        <v>R</v>
      </c>
      <c r="M493" s="1" t="str">
        <f t="shared" si="156"/>
        <v>T04</v>
      </c>
      <c r="N493" s="1" t="str">
        <f t="shared" si="150"/>
        <v>Y</v>
      </c>
      <c r="O493" s="1" t="str">
        <f t="shared" si="151"/>
        <v>Y</v>
      </c>
      <c r="P493" s="1" t="str">
        <f t="shared" si="143"/>
        <v>Y</v>
      </c>
      <c r="Q493" s="1" t="str">
        <f t="shared" si="158"/>
        <v>A</v>
      </c>
    </row>
    <row r="494" spans="1:17" x14ac:dyDescent="0.3">
      <c r="A494" s="1" t="str">
        <f t="shared" si="152"/>
        <v>C</v>
      </c>
      <c r="B494" s="1" t="str">
        <f>"URINATION1"</f>
        <v>URINATION1</v>
      </c>
      <c r="C494" s="1" t="str">
        <f>"배뇨장애"</f>
        <v>배뇨장애</v>
      </c>
      <c r="D494" s="1" t="s">
        <v>136</v>
      </c>
      <c r="E494" s="1" t="str">
        <f t="shared" si="157"/>
        <v>WOK02</v>
      </c>
      <c r="F494" s="1" t="str">
        <f t="shared" si="159"/>
        <v>PTM01</v>
      </c>
      <c r="G494" s="1" t="str">
        <f>"DISN"</f>
        <v>DISN</v>
      </c>
      <c r="H494" s="1" t="str">
        <f>"REL09"</f>
        <v>REL09</v>
      </c>
      <c r="I494" s="1" t="str">
        <f>""</f>
        <v/>
      </c>
      <c r="J494" s="1" t="str">
        <f>""</f>
        <v/>
      </c>
      <c r="K494" s="1" t="str">
        <f>""</f>
        <v/>
      </c>
      <c r="L494" s="1" t="str">
        <f t="shared" si="142"/>
        <v>R</v>
      </c>
      <c r="M494" s="1" t="str">
        <f>"T05"</f>
        <v>T05</v>
      </c>
      <c r="N494" s="1" t="str">
        <f t="shared" si="150"/>
        <v>Y</v>
      </c>
      <c r="O494" s="1" t="str">
        <f t="shared" si="151"/>
        <v>Y</v>
      </c>
      <c r="P494" s="1" t="str">
        <f t="shared" si="143"/>
        <v>Y</v>
      </c>
      <c r="Q494" s="1" t="str">
        <f t="shared" si="158"/>
        <v>A</v>
      </c>
    </row>
    <row r="495" spans="1:17" x14ac:dyDescent="0.3">
      <c r="A495" s="1" t="str">
        <f t="shared" ref="A495:A526" si="160">"C1"</f>
        <v>C1</v>
      </c>
      <c r="B495" s="1" t="str">
        <f>"ANE302"</f>
        <v>ANE302</v>
      </c>
      <c r="C495" s="1" t="str">
        <f>"빈혈주의(유기화합물에의한)"</f>
        <v>빈혈주의(유기화합물에의한)</v>
      </c>
      <c r="D495" s="1" t="str">
        <f>"유기화합물 취급에 의해 빈혈이 발생할수 있으니 보호구착용을 하세요."</f>
        <v>유기화합물 취급에 의해 빈혈이 발생할수 있으니 보호구착용을 하세요.</v>
      </c>
      <c r="E495" s="1" t="str">
        <f t="shared" si="157"/>
        <v>WOK02</v>
      </c>
      <c r="F495" s="1" t="str">
        <f t="shared" ref="F495:F503" si="161">"PTM02"</f>
        <v>PTM02</v>
      </c>
      <c r="G495" s="1" t="str">
        <f>"DISD"</f>
        <v>DISD</v>
      </c>
      <c r="H495" s="1" t="str">
        <f>"REL12"</f>
        <v>REL12</v>
      </c>
      <c r="I495" s="1" t="str">
        <f>""</f>
        <v/>
      </c>
      <c r="J495" s="1" t="str">
        <f t="shared" ref="J495:K499" si="162">"S01C"</f>
        <v>S01C</v>
      </c>
      <c r="K495" s="1" t="str">
        <f t="shared" si="162"/>
        <v>S01C</v>
      </c>
      <c r="L495" s="1" t="str">
        <f t="shared" si="142"/>
        <v>R</v>
      </c>
      <c r="M495" s="1" t="str">
        <f>"T01"</f>
        <v>T01</v>
      </c>
      <c r="N495" s="1" t="str">
        <f t="shared" si="150"/>
        <v>Y</v>
      </c>
      <c r="O495" s="1" t="str">
        <f t="shared" si="151"/>
        <v>Y</v>
      </c>
      <c r="P495" s="1" t="str">
        <f t="shared" si="143"/>
        <v>Y</v>
      </c>
      <c r="Q495" s="1" t="str">
        <f t="shared" si="158"/>
        <v>A</v>
      </c>
    </row>
    <row r="496" spans="1:17" x14ac:dyDescent="0.3">
      <c r="A496" s="1" t="str">
        <f t="shared" si="160"/>
        <v>C1</v>
      </c>
      <c r="B496" s="1" t="str">
        <f>"ANE403"</f>
        <v>ANE403</v>
      </c>
      <c r="C496" s="1" t="str">
        <f>"빈혈"</f>
        <v>빈혈</v>
      </c>
      <c r="D496" s="1" t="str">
        <f>"빈혈에 대한 치료를 하시고 유기화합물 취급 업무시 보호구착용을 철저히 하세요."</f>
        <v>빈혈에 대한 치료를 하시고 유기화합물 취급 업무시 보호구착용을 철저히 하세요.</v>
      </c>
      <c r="E496" s="1" t="str">
        <f t="shared" si="157"/>
        <v>WOK02</v>
      </c>
      <c r="F496" s="1" t="str">
        <f t="shared" si="161"/>
        <v>PTM02</v>
      </c>
      <c r="G496" s="1" t="str">
        <f>"DISD"</f>
        <v>DISD</v>
      </c>
      <c r="H496" s="1" t="str">
        <f>"REL12"</f>
        <v>REL12</v>
      </c>
      <c r="I496" s="1" t="str">
        <f>""</f>
        <v/>
      </c>
      <c r="J496" s="1" t="str">
        <f t="shared" si="162"/>
        <v>S01C</v>
      </c>
      <c r="K496" s="1" t="str">
        <f t="shared" si="162"/>
        <v>S01C</v>
      </c>
      <c r="L496" s="1" t="str">
        <f t="shared" si="142"/>
        <v>R</v>
      </c>
      <c r="M496" s="1" t="str">
        <f>"T01"</f>
        <v>T01</v>
      </c>
      <c r="N496" s="1" t="str">
        <f t="shared" si="150"/>
        <v>Y</v>
      </c>
      <c r="O496" s="1" t="str">
        <f t="shared" si="151"/>
        <v>Y</v>
      </c>
      <c r="P496" s="1" t="str">
        <f t="shared" si="143"/>
        <v>Y</v>
      </c>
      <c r="Q496" s="1" t="str">
        <f t="shared" si="158"/>
        <v>A</v>
      </c>
    </row>
    <row r="497" spans="1:17" x14ac:dyDescent="0.3">
      <c r="A497" s="1" t="str">
        <f t="shared" si="160"/>
        <v>C1</v>
      </c>
      <c r="B497" s="1" t="str">
        <f>"BEI101"</f>
        <v>BEI101</v>
      </c>
      <c r="C497" s="1" t="str">
        <f>"납 과폭로 주의"</f>
        <v>납 과폭로 주의</v>
      </c>
      <c r="D497" s="1" t="str">
        <f>"납에 과폭로된 상태입니다. 보호구착용 철저히 하시고 2개월내 추적검사하십시요."</f>
        <v>납에 과폭로된 상태입니다. 보호구착용 철저히 하시고 2개월내 추적검사하십시요.</v>
      </c>
      <c r="E497" s="1" t="str">
        <f t="shared" si="157"/>
        <v>WOK02</v>
      </c>
      <c r="F497" s="1" t="str">
        <f t="shared" si="161"/>
        <v>PTM02</v>
      </c>
      <c r="G497" s="1" t="str">
        <f>"DIS306"</f>
        <v>DIS306</v>
      </c>
      <c r="H497" s="1" t="str">
        <f t="shared" ref="H497:H503" si="163">"REL16"</f>
        <v>REL16</v>
      </c>
      <c r="I497" s="1" t="str">
        <f>"N0111"</f>
        <v>N0111</v>
      </c>
      <c r="J497" s="1" t="str">
        <f t="shared" si="162"/>
        <v>S01C</v>
      </c>
      <c r="K497" s="1" t="str">
        <f t="shared" si="162"/>
        <v>S01C</v>
      </c>
      <c r="L497" s="1" t="str">
        <f t="shared" si="142"/>
        <v>R</v>
      </c>
      <c r="M497" s="1" t="str">
        <f t="shared" ref="M497:M514" si="164">"T12"</f>
        <v>T12</v>
      </c>
      <c r="N497" s="1" t="str">
        <f t="shared" si="150"/>
        <v>Y</v>
      </c>
      <c r="O497" s="1" t="str">
        <f t="shared" si="151"/>
        <v>Y</v>
      </c>
      <c r="P497" s="1" t="str">
        <f t="shared" si="143"/>
        <v>Y</v>
      </c>
      <c r="Q497" s="1" t="str">
        <f t="shared" si="158"/>
        <v>A</v>
      </c>
    </row>
    <row r="498" spans="1:17" x14ac:dyDescent="0.3">
      <c r="A498" s="1" t="str">
        <f t="shared" si="160"/>
        <v>C1</v>
      </c>
      <c r="B498" s="1" t="str">
        <f>"BEI102"</f>
        <v>BEI102</v>
      </c>
      <c r="C498" s="1" t="str">
        <f>"요중납 초과"</f>
        <v>요중납 초과</v>
      </c>
      <c r="D498" s="1" t="str">
        <f>"요중 납의 농도가 높습니다. 납에 과노출된 상태이므로 보호구 착용하시고 추적검사를 받으세요."</f>
        <v>요중 납의 농도가 높습니다. 납에 과노출된 상태이므로 보호구 착용하시고 추적검사를 받으세요.</v>
      </c>
      <c r="E498" s="1" t="str">
        <f t="shared" si="157"/>
        <v>WOK02</v>
      </c>
      <c r="F498" s="1" t="str">
        <f t="shared" si="161"/>
        <v>PTM02</v>
      </c>
      <c r="G498" s="1" t="str">
        <f>"DIS306"</f>
        <v>DIS306</v>
      </c>
      <c r="H498" s="1" t="str">
        <f t="shared" si="163"/>
        <v>REL16</v>
      </c>
      <c r="I498" s="1" t="str">
        <f>"N0111"</f>
        <v>N0111</v>
      </c>
      <c r="J498" s="1" t="str">
        <f t="shared" si="162"/>
        <v>S01C</v>
      </c>
      <c r="K498" s="1" t="str">
        <f t="shared" si="162"/>
        <v>S01C</v>
      </c>
      <c r="L498" s="1" t="str">
        <f t="shared" si="142"/>
        <v>R</v>
      </c>
      <c r="M498" s="1" t="str">
        <f t="shared" si="164"/>
        <v>T12</v>
      </c>
      <c r="N498" s="1" t="str">
        <f t="shared" si="150"/>
        <v>Y</v>
      </c>
      <c r="O498" s="1" t="str">
        <f t="shared" si="151"/>
        <v>Y</v>
      </c>
      <c r="P498" s="1" t="str">
        <f t="shared" si="143"/>
        <v>Y</v>
      </c>
      <c r="Q498" s="1" t="str">
        <f t="shared" si="158"/>
        <v>A</v>
      </c>
    </row>
    <row r="499" spans="1:17" x14ac:dyDescent="0.3">
      <c r="A499" s="1" t="str">
        <f t="shared" si="160"/>
        <v>C1</v>
      </c>
      <c r="B499" s="1" t="str">
        <f>"BEI103"</f>
        <v>BEI103</v>
      </c>
      <c r="C499" s="1" t="str">
        <f>"카드뮴 과폭로 주의"</f>
        <v>카드뮴 과폭로 주의</v>
      </c>
      <c r="D499" s="1" t="str">
        <f>"카드뮴의 농도가 높습니다. 카드뮴에 과노출된 상태이므로 보호구 착용하시고 추적검사를 받으세요."</f>
        <v>카드뮴의 농도가 높습니다. 카드뮴에 과노출된 상태이므로 보호구 착용하시고 추적검사를 받으세요.</v>
      </c>
      <c r="E499" s="1" t="str">
        <f t="shared" si="157"/>
        <v>WOK02</v>
      </c>
      <c r="F499" s="1" t="str">
        <f t="shared" si="161"/>
        <v>PTM02</v>
      </c>
      <c r="G499" s="1" t="str">
        <f>"DIS308"</f>
        <v>DIS308</v>
      </c>
      <c r="H499" s="1" t="str">
        <f t="shared" si="163"/>
        <v>REL16</v>
      </c>
      <c r="I499" s="1" t="str">
        <f>"N0125"</f>
        <v>N0125</v>
      </c>
      <c r="J499" s="1" t="str">
        <f t="shared" si="162"/>
        <v>S01C</v>
      </c>
      <c r="K499" s="1" t="str">
        <f t="shared" si="162"/>
        <v>S01C</v>
      </c>
      <c r="L499" s="1" t="str">
        <f t="shared" si="142"/>
        <v>R</v>
      </c>
      <c r="M499" s="1" t="str">
        <f t="shared" si="164"/>
        <v>T12</v>
      </c>
      <c r="N499" s="1" t="str">
        <f t="shared" si="150"/>
        <v>Y</v>
      </c>
      <c r="O499" s="1" t="str">
        <f t="shared" si="151"/>
        <v>Y</v>
      </c>
      <c r="P499" s="1" t="str">
        <f t="shared" si="143"/>
        <v>Y</v>
      </c>
      <c r="Q499" s="1" t="str">
        <f t="shared" si="158"/>
        <v>A</v>
      </c>
    </row>
    <row r="500" spans="1:17" x14ac:dyDescent="0.3">
      <c r="A500" s="1" t="str">
        <f t="shared" si="160"/>
        <v>C1</v>
      </c>
      <c r="B500" s="1" t="str">
        <f>"BEI105"</f>
        <v>BEI105</v>
      </c>
      <c r="C500" s="1" t="str">
        <f>"혈중망간 초과"</f>
        <v>혈중망간 초과</v>
      </c>
      <c r="D500" s="1" t="str">
        <f>"혈중 망간의 농도가 높습니다. 망간에 과노출된 상태이므로 보호구 착용하시고 추적검사를 받으세요."</f>
        <v>혈중 망간의 농도가 높습니다. 망간에 과노출된 상태이므로 보호구 착용하시고 추적검사를 받으세요.</v>
      </c>
      <c r="E500" s="1" t="str">
        <f>"WOK03"</f>
        <v>WOK03</v>
      </c>
      <c r="F500" s="1" t="str">
        <f t="shared" si="161"/>
        <v>PTM02</v>
      </c>
      <c r="G500" s="1" t="str">
        <f>"DIS302"</f>
        <v>DIS302</v>
      </c>
      <c r="H500" s="1" t="str">
        <f t="shared" si="163"/>
        <v>REL16</v>
      </c>
      <c r="I500" s="1" t="str">
        <f>"N0113"</f>
        <v>N0113</v>
      </c>
      <c r="J500" s="1" t="str">
        <f>"S01R"</f>
        <v>S01R</v>
      </c>
      <c r="K500" s="1" t="str">
        <f>"S01R"</f>
        <v>S01R</v>
      </c>
      <c r="L500" s="1" t="str">
        <f t="shared" si="142"/>
        <v>R</v>
      </c>
      <c r="M500" s="1" t="str">
        <f t="shared" si="164"/>
        <v>T12</v>
      </c>
      <c r="N500" s="1" t="str">
        <f t="shared" si="150"/>
        <v>Y</v>
      </c>
      <c r="O500" s="1" t="str">
        <f t="shared" si="151"/>
        <v>Y</v>
      </c>
      <c r="P500" s="1" t="str">
        <f t="shared" si="143"/>
        <v>Y</v>
      </c>
      <c r="Q500" s="1" t="str">
        <f t="shared" si="158"/>
        <v>A</v>
      </c>
    </row>
    <row r="501" spans="1:17" x14ac:dyDescent="0.3">
      <c r="A501" s="1" t="str">
        <f t="shared" si="160"/>
        <v>C1</v>
      </c>
      <c r="B501" s="1" t="str">
        <f>"BEI107"</f>
        <v>BEI107</v>
      </c>
      <c r="C501" s="1" t="str">
        <f>"혈중크롬 초과"</f>
        <v>혈중크롬 초과</v>
      </c>
      <c r="D501" s="1" t="str">
        <f>"혈중 크롬의 농도가 높습니다. 크롬에 과노출된 상태이므로 보호구 착용하시고 추적검사를 받으세요."</f>
        <v>혈중 크롬의 농도가 높습니다. 크롬에 과노출된 상태이므로 보호구 착용하시고 추적검사를 받으세요.</v>
      </c>
      <c r="E501" s="1" t="str">
        <f t="shared" ref="E501:E526" si="165">"WOK02"</f>
        <v>WOK02</v>
      </c>
      <c r="F501" s="1" t="str">
        <f t="shared" si="161"/>
        <v>PTM02</v>
      </c>
      <c r="G501" s="1" t="str">
        <f>"DIS309"</f>
        <v>DIS309</v>
      </c>
      <c r="H501" s="1" t="str">
        <f t="shared" si="163"/>
        <v>REL16</v>
      </c>
      <c r="I501" s="1" t="str">
        <f>"N0127"</f>
        <v>N0127</v>
      </c>
      <c r="J501" s="1" t="str">
        <f t="shared" ref="J501:K514" si="166">"S01C"</f>
        <v>S01C</v>
      </c>
      <c r="K501" s="1" t="str">
        <f t="shared" si="166"/>
        <v>S01C</v>
      </c>
      <c r="L501" s="1" t="str">
        <f t="shared" si="142"/>
        <v>R</v>
      </c>
      <c r="M501" s="1" t="str">
        <f t="shared" si="164"/>
        <v>T12</v>
      </c>
      <c r="N501" s="1" t="str">
        <f t="shared" si="150"/>
        <v>Y</v>
      </c>
      <c r="O501" s="1" t="str">
        <f t="shared" si="151"/>
        <v>Y</v>
      </c>
      <c r="P501" s="1" t="str">
        <f t="shared" si="143"/>
        <v>Y</v>
      </c>
      <c r="Q501" s="1" t="str">
        <f t="shared" si="158"/>
        <v>A</v>
      </c>
    </row>
    <row r="502" spans="1:17" x14ac:dyDescent="0.3">
      <c r="A502" s="1" t="str">
        <f t="shared" si="160"/>
        <v>C1</v>
      </c>
      <c r="B502" s="1" t="str">
        <f>"BEI108"</f>
        <v>BEI108</v>
      </c>
      <c r="C502" s="1" t="str">
        <f>"요중크롬 초과"</f>
        <v>요중크롬 초과</v>
      </c>
      <c r="D502" s="1" t="str">
        <f>"요중 크롬의 농도가 높습니다. 크롬에 과노출된 상태이므로 보호구 착용하시고 추적검사를 받으세요."</f>
        <v>요중 크롬의 농도가 높습니다. 크롬에 과노출된 상태이므로 보호구 착용하시고 추적검사를 받으세요.</v>
      </c>
      <c r="E502" s="1" t="str">
        <f t="shared" si="165"/>
        <v>WOK02</v>
      </c>
      <c r="F502" s="1" t="str">
        <f t="shared" si="161"/>
        <v>PTM02</v>
      </c>
      <c r="G502" s="1" t="str">
        <f>"DIS309"</f>
        <v>DIS309</v>
      </c>
      <c r="H502" s="1" t="str">
        <f t="shared" si="163"/>
        <v>REL16</v>
      </c>
      <c r="I502" s="1" t="str">
        <f>"N0127"</f>
        <v>N0127</v>
      </c>
      <c r="J502" s="1" t="str">
        <f t="shared" si="166"/>
        <v>S01C</v>
      </c>
      <c r="K502" s="1" t="str">
        <f t="shared" si="166"/>
        <v>S01C</v>
      </c>
      <c r="L502" s="1" t="str">
        <f t="shared" si="142"/>
        <v>R</v>
      </c>
      <c r="M502" s="1" t="str">
        <f t="shared" si="164"/>
        <v>T12</v>
      </c>
      <c r="N502" s="1" t="str">
        <f t="shared" si="150"/>
        <v>Y</v>
      </c>
      <c r="O502" s="1" t="str">
        <f t="shared" si="151"/>
        <v>Y</v>
      </c>
      <c r="P502" s="1" t="str">
        <f t="shared" si="143"/>
        <v>Y</v>
      </c>
      <c r="Q502" s="1" t="str">
        <f t="shared" si="158"/>
        <v>A</v>
      </c>
    </row>
    <row r="503" spans="1:17" x14ac:dyDescent="0.3">
      <c r="A503" s="1" t="str">
        <f t="shared" si="160"/>
        <v>C1</v>
      </c>
      <c r="B503" s="1" t="str">
        <f>"BEI109"</f>
        <v>BEI109</v>
      </c>
      <c r="C503" s="1" t="str">
        <f>"요중수은 초과"</f>
        <v>요중수은 초과</v>
      </c>
      <c r="D503" s="1" t="str">
        <f>"요중 수은의 농도가 높습니다. 수은에 과노출된 상태이므로 보호구 착용하시고 추적검사를 받으세요."</f>
        <v>요중 수은의 농도가 높습니다. 수은에 과노출된 상태이므로 보호구 착용하시고 추적검사를 받으세요.</v>
      </c>
      <c r="E503" s="1" t="str">
        <f t="shared" si="165"/>
        <v>WOK02</v>
      </c>
      <c r="F503" s="1" t="str">
        <f t="shared" si="161"/>
        <v>PTM02</v>
      </c>
      <c r="G503" s="1" t="str">
        <f>"DIS305"</f>
        <v>DIS305</v>
      </c>
      <c r="H503" s="1" t="str">
        <f t="shared" si="163"/>
        <v>REL16</v>
      </c>
      <c r="I503" s="1" t="str">
        <f>"N0117"</f>
        <v>N0117</v>
      </c>
      <c r="J503" s="1" t="str">
        <f t="shared" si="166"/>
        <v>S01C</v>
      </c>
      <c r="K503" s="1" t="str">
        <f t="shared" si="166"/>
        <v>S01C</v>
      </c>
      <c r="L503" s="1" t="str">
        <f t="shared" si="142"/>
        <v>R</v>
      </c>
      <c r="M503" s="1" t="str">
        <f t="shared" si="164"/>
        <v>T12</v>
      </c>
      <c r="N503" s="1" t="str">
        <f t="shared" si="150"/>
        <v>Y</v>
      </c>
      <c r="O503" s="1" t="str">
        <f t="shared" si="151"/>
        <v>Y</v>
      </c>
      <c r="P503" s="1" t="str">
        <f t="shared" si="143"/>
        <v>Y</v>
      </c>
      <c r="Q503" s="1" t="str">
        <f t="shared" si="158"/>
        <v>A</v>
      </c>
    </row>
    <row r="504" spans="1:17" x14ac:dyDescent="0.3">
      <c r="A504" s="1" t="str">
        <f t="shared" si="160"/>
        <v>C1</v>
      </c>
      <c r="B504" s="1" t="str">
        <f>"BEI201"</f>
        <v>BEI201</v>
      </c>
      <c r="C504" s="1" t="str">
        <f>"톨루엔 과폭로 주의"</f>
        <v>톨루엔 과폭로 주의</v>
      </c>
      <c r="D504" s="1" t="str">
        <f>"톨루엔 과다노출 의심. 작업시 철저한 보호구 착용 및 정기적 추적검사"</f>
        <v>톨루엔 과다노출 의심. 작업시 철저한 보호구 착용 및 정기적 추적검사</v>
      </c>
      <c r="E504" s="1" t="str">
        <f t="shared" si="165"/>
        <v>WOK02</v>
      </c>
      <c r="F504" s="1" t="str">
        <f>""</f>
        <v/>
      </c>
      <c r="G504" s="1" t="str">
        <f>"DIS215"</f>
        <v>DIS215</v>
      </c>
      <c r="H504" s="1" t="str">
        <f t="shared" ref="H504:H514" si="167">"REL17"</f>
        <v>REL17</v>
      </c>
      <c r="I504" s="1" t="str">
        <f>"N0010"</f>
        <v>N0010</v>
      </c>
      <c r="J504" s="1" t="str">
        <f t="shared" si="166"/>
        <v>S01C</v>
      </c>
      <c r="K504" s="1" t="str">
        <f t="shared" si="166"/>
        <v>S01C</v>
      </c>
      <c r="L504" s="1" t="str">
        <f t="shared" si="142"/>
        <v>R</v>
      </c>
      <c r="M504" s="1" t="str">
        <f t="shared" si="164"/>
        <v>T12</v>
      </c>
      <c r="N504" s="1" t="str">
        <f t="shared" si="150"/>
        <v>Y</v>
      </c>
      <c r="O504" s="1" t="str">
        <f t="shared" si="151"/>
        <v>Y</v>
      </c>
      <c r="P504" s="1" t="str">
        <f t="shared" si="143"/>
        <v>Y</v>
      </c>
      <c r="Q504" s="1" t="str">
        <f t="shared" si="158"/>
        <v>A</v>
      </c>
    </row>
    <row r="505" spans="1:17" x14ac:dyDescent="0.3">
      <c r="A505" s="1" t="str">
        <f t="shared" si="160"/>
        <v>C1</v>
      </c>
      <c r="B505" s="1" t="str">
        <f>"BEI202"</f>
        <v>BEI202</v>
      </c>
      <c r="C505" s="1" t="str">
        <f>"크실렌 과폭로 주의"</f>
        <v>크실렌 과폭로 주의</v>
      </c>
      <c r="D505" s="1" t="str">
        <f>"크실렌 과다노출 의심. 작업시 철저한 보호구 착용 및 환기 필요. 3개월 후 추적검사"</f>
        <v>크실렌 과다노출 의심. 작업시 철저한 보호구 착용 및 환기 필요. 3개월 후 추적검사</v>
      </c>
      <c r="E505" s="1" t="str">
        <f t="shared" si="165"/>
        <v>WOK02</v>
      </c>
      <c r="F505" s="1" t="str">
        <f>"PTM02"</f>
        <v>PTM02</v>
      </c>
      <c r="G505" s="1" t="str">
        <f>"DIS213"</f>
        <v>DIS213</v>
      </c>
      <c r="H505" s="1" t="str">
        <f t="shared" si="167"/>
        <v>REL17</v>
      </c>
      <c r="I505" s="1" t="str">
        <f>"N0083"</f>
        <v>N0083</v>
      </c>
      <c r="J505" s="1" t="str">
        <f t="shared" si="166"/>
        <v>S01C</v>
      </c>
      <c r="K505" s="1" t="str">
        <f t="shared" si="166"/>
        <v>S01C</v>
      </c>
      <c r="L505" s="1" t="str">
        <f t="shared" si="142"/>
        <v>R</v>
      </c>
      <c r="M505" s="1" t="str">
        <f t="shared" si="164"/>
        <v>T12</v>
      </c>
      <c r="N505" s="1" t="str">
        <f t="shared" si="150"/>
        <v>Y</v>
      </c>
      <c r="O505" s="1" t="str">
        <f t="shared" si="151"/>
        <v>Y</v>
      </c>
      <c r="P505" s="1" t="str">
        <f t="shared" si="143"/>
        <v>Y</v>
      </c>
      <c r="Q505" s="1" t="str">
        <f t="shared" si="158"/>
        <v>A</v>
      </c>
    </row>
    <row r="506" spans="1:17" x14ac:dyDescent="0.3">
      <c r="A506" s="1" t="str">
        <f t="shared" si="160"/>
        <v>C1</v>
      </c>
      <c r="B506" s="1" t="str">
        <f>"BEI203"</f>
        <v>BEI203</v>
      </c>
      <c r="C506" s="1" t="str">
        <f>"요중 삼염화물 초과 주의"</f>
        <v>요중 삼염화물 초과 주의</v>
      </c>
      <c r="D506" s="1" t="str">
        <f>"세척작업 등에서 사용되는 염소화합물에 과다노출이 의심되는 소견입니다. 보호구착용을 철저히 하시고 추적검사 받으세요."</f>
        <v>세척작업 등에서 사용되는 염소화합물에 과다노출이 의심되는 소견입니다. 보호구착용을 철저히 하시고 추적검사 받으세요.</v>
      </c>
      <c r="E506" s="1" t="str">
        <f t="shared" si="165"/>
        <v>WOK02</v>
      </c>
      <c r="F506" s="1" t="str">
        <f>"PTM02"</f>
        <v>PTM02</v>
      </c>
      <c r="G506" s="1" t="str">
        <f>"DIS299"</f>
        <v>DIS299</v>
      </c>
      <c r="H506" s="1" t="str">
        <f t="shared" si="167"/>
        <v>REL17</v>
      </c>
      <c r="I506" s="1" t="str">
        <f>""</f>
        <v/>
      </c>
      <c r="J506" s="1" t="str">
        <f t="shared" si="166"/>
        <v>S01C</v>
      </c>
      <c r="K506" s="1" t="str">
        <f t="shared" si="166"/>
        <v>S01C</v>
      </c>
      <c r="L506" s="1" t="str">
        <f t="shared" si="142"/>
        <v>R</v>
      </c>
      <c r="M506" s="1" t="str">
        <f t="shared" si="164"/>
        <v>T12</v>
      </c>
      <c r="N506" s="1" t="str">
        <f t="shared" si="150"/>
        <v>Y</v>
      </c>
      <c r="O506" s="1" t="str">
        <f t="shared" si="151"/>
        <v>Y</v>
      </c>
      <c r="P506" s="1" t="str">
        <f t="shared" si="143"/>
        <v>Y</v>
      </c>
      <c r="Q506" s="1" t="str">
        <f t="shared" si="158"/>
        <v>A</v>
      </c>
    </row>
    <row r="507" spans="1:17" x14ac:dyDescent="0.3">
      <c r="A507" s="1" t="str">
        <f t="shared" si="160"/>
        <v>C1</v>
      </c>
      <c r="B507" s="1" t="str">
        <f>"BEI204"</f>
        <v>BEI204</v>
      </c>
      <c r="C507" s="1" t="str">
        <f>"스틸렌 과폭로 주의"</f>
        <v>스틸렌 과폭로 주의</v>
      </c>
      <c r="D507" s="1" t="str">
        <f>"스틸렌에 과노출된 상태이므로 보호구 착용하시고 추적검사를 받으세요."</f>
        <v>스틸렌에 과노출된 상태이므로 보호구 착용하시고 추적검사를 받으세요.</v>
      </c>
      <c r="E507" s="1" t="str">
        <f t="shared" si="165"/>
        <v>WOK02</v>
      </c>
      <c r="F507" s="1" t="str">
        <f>"PTM02"</f>
        <v>PTM02</v>
      </c>
      <c r="G507" s="1" t="str">
        <f>"DIS299"</f>
        <v>DIS299</v>
      </c>
      <c r="H507" s="1" t="str">
        <f t="shared" si="167"/>
        <v>REL17</v>
      </c>
      <c r="I507" s="1" t="str">
        <f>"N0050"</f>
        <v>N0050</v>
      </c>
      <c r="J507" s="1" t="str">
        <f t="shared" si="166"/>
        <v>S01C</v>
      </c>
      <c r="K507" s="1" t="str">
        <f t="shared" si="166"/>
        <v>S01C</v>
      </c>
      <c r="L507" s="1" t="str">
        <f t="shared" si="142"/>
        <v>R</v>
      </c>
      <c r="M507" s="1" t="str">
        <f t="shared" si="164"/>
        <v>T12</v>
      </c>
      <c r="N507" s="1" t="str">
        <f t="shared" si="150"/>
        <v>Y</v>
      </c>
      <c r="O507" s="1" t="str">
        <f t="shared" si="151"/>
        <v>Y</v>
      </c>
      <c r="P507" s="1" t="str">
        <f t="shared" si="143"/>
        <v>Y</v>
      </c>
      <c r="Q507" s="1" t="str">
        <f t="shared" si="158"/>
        <v>A</v>
      </c>
    </row>
    <row r="508" spans="1:17" x14ac:dyDescent="0.3">
      <c r="A508" s="1" t="str">
        <f t="shared" si="160"/>
        <v>C1</v>
      </c>
      <c r="B508" s="1" t="str">
        <f>"BEI205"</f>
        <v>BEI205</v>
      </c>
      <c r="C508" s="1" t="str">
        <f>"DMF 과폭로 주의"</f>
        <v>DMF 과폭로 주의</v>
      </c>
      <c r="D508" s="1" t="str">
        <f>"요중 NMF의 농도가 높습니다. 디메틸포름아미드(DMF)에 과폭로된 상태이므로 보호구 착용하시고 1개월 내 추적검사를 받으세요."</f>
        <v>요중 NMF의 농도가 높습니다. 디메틸포름아미드(DMF)에 과폭로된 상태이므로 보호구 착용하시고 1개월 내 추적검사를 받으세요.</v>
      </c>
      <c r="E508" s="1" t="str">
        <f t="shared" si="165"/>
        <v>WOK02</v>
      </c>
      <c r="F508" s="1" t="str">
        <f>"PTM031"</f>
        <v>PTM031</v>
      </c>
      <c r="G508" s="1" t="str">
        <f>"DIS202"</f>
        <v>DIS202</v>
      </c>
      <c r="H508" s="1" t="str">
        <f t="shared" si="167"/>
        <v>REL17</v>
      </c>
      <c r="I508" s="1" t="str">
        <f>"N0015"</f>
        <v>N0015</v>
      </c>
      <c r="J508" s="1" t="str">
        <f t="shared" si="166"/>
        <v>S01C</v>
      </c>
      <c r="K508" s="1" t="str">
        <f t="shared" si="166"/>
        <v>S01C</v>
      </c>
      <c r="L508" s="1" t="str">
        <f t="shared" si="142"/>
        <v>R</v>
      </c>
      <c r="M508" s="1" t="str">
        <f t="shared" si="164"/>
        <v>T12</v>
      </c>
      <c r="N508" s="1" t="str">
        <f t="shared" si="150"/>
        <v>Y</v>
      </c>
      <c r="O508" s="1" t="str">
        <f t="shared" si="151"/>
        <v>Y</v>
      </c>
      <c r="P508" s="1" t="str">
        <f t="shared" si="143"/>
        <v>Y</v>
      </c>
      <c r="Q508" s="1" t="str">
        <f t="shared" si="158"/>
        <v>A</v>
      </c>
    </row>
    <row r="509" spans="1:17" x14ac:dyDescent="0.3">
      <c r="A509" s="1" t="str">
        <f t="shared" si="160"/>
        <v>C1</v>
      </c>
      <c r="B509" s="1" t="str">
        <f>"BEI600"</f>
        <v>BEI600</v>
      </c>
      <c r="C509" s="1" t="str">
        <f>"톨루엔 과폭로 주의"</f>
        <v>톨루엔 과폭로 주의</v>
      </c>
      <c r="D509" s="1" t="s">
        <v>137</v>
      </c>
      <c r="E509" s="1" t="str">
        <f t="shared" si="165"/>
        <v>WOK02</v>
      </c>
      <c r="F509" s="1" t="str">
        <f>""</f>
        <v/>
      </c>
      <c r="G509" s="1" t="str">
        <f>"DIS215"</f>
        <v>DIS215</v>
      </c>
      <c r="H509" s="1" t="str">
        <f t="shared" si="167"/>
        <v>REL17</v>
      </c>
      <c r="I509" s="1" t="str">
        <f>"HW0675"</f>
        <v>HW0675</v>
      </c>
      <c r="J509" s="1" t="str">
        <f t="shared" si="166"/>
        <v>S01C</v>
      </c>
      <c r="K509" s="1" t="str">
        <f t="shared" si="166"/>
        <v>S01C</v>
      </c>
      <c r="L509" s="1" t="str">
        <f t="shared" si="142"/>
        <v>R</v>
      </c>
      <c r="M509" s="1" t="str">
        <f t="shared" si="164"/>
        <v>T12</v>
      </c>
      <c r="N509" s="1" t="str">
        <f t="shared" si="150"/>
        <v>Y</v>
      </c>
      <c r="O509" s="1" t="str">
        <f t="shared" ref="O509:O545" si="168">"Y"</f>
        <v>Y</v>
      </c>
      <c r="P509" s="1" t="str">
        <f t="shared" si="143"/>
        <v>Y</v>
      </c>
      <c r="Q509" s="1" t="str">
        <f t="shared" si="158"/>
        <v>A</v>
      </c>
    </row>
    <row r="510" spans="1:17" x14ac:dyDescent="0.3">
      <c r="A510" s="1" t="str">
        <f t="shared" si="160"/>
        <v>C1</v>
      </c>
      <c r="B510" s="1" t="str">
        <f>"BEI601"</f>
        <v>BEI601</v>
      </c>
      <c r="C510" s="1" t="str">
        <f>"삼염화초산(TCE)과폭로주의(3개월이내추적검사)"</f>
        <v>삼염화초산(TCE)과폭로주의(3개월이내추적검사)</v>
      </c>
      <c r="D510" s="1" t="s">
        <v>138</v>
      </c>
      <c r="E510" s="1" t="str">
        <f t="shared" si="165"/>
        <v>WOK02</v>
      </c>
      <c r="F510" s="1" t="str">
        <f>""</f>
        <v/>
      </c>
      <c r="G510" s="1" t="str">
        <f>"DIS218"</f>
        <v>DIS218</v>
      </c>
      <c r="H510" s="1" t="str">
        <f t="shared" si="167"/>
        <v>REL17</v>
      </c>
      <c r="I510" s="1" t="str">
        <f>"P0678"</f>
        <v>P0678</v>
      </c>
      <c r="J510" s="1" t="str">
        <f t="shared" si="166"/>
        <v>S01C</v>
      </c>
      <c r="K510" s="1" t="str">
        <f t="shared" si="166"/>
        <v>S01C</v>
      </c>
      <c r="L510" s="1" t="str">
        <f t="shared" si="142"/>
        <v>R</v>
      </c>
      <c r="M510" s="1" t="str">
        <f t="shared" si="164"/>
        <v>T12</v>
      </c>
      <c r="N510" s="1" t="str">
        <f t="shared" si="150"/>
        <v>Y</v>
      </c>
      <c r="O510" s="1" t="str">
        <f t="shared" si="168"/>
        <v>Y</v>
      </c>
      <c r="P510" s="1" t="str">
        <f t="shared" si="143"/>
        <v>Y</v>
      </c>
      <c r="Q510" s="1" t="str">
        <f>""</f>
        <v/>
      </c>
    </row>
    <row r="511" spans="1:17" x14ac:dyDescent="0.3">
      <c r="A511" s="1" t="str">
        <f t="shared" si="160"/>
        <v>C1</v>
      </c>
      <c r="B511" s="1" t="str">
        <f>"BEI602"</f>
        <v>BEI602</v>
      </c>
      <c r="C511" s="1" t="str">
        <f>"삼염화초산(PCE)과폭로주의(3개월이내추적검사)"</f>
        <v>삼염화초산(PCE)과폭로주의(3개월이내추적검사)</v>
      </c>
      <c r="D511" s="1" t="s">
        <v>139</v>
      </c>
      <c r="E511" s="1" t="str">
        <f t="shared" si="165"/>
        <v>WOK02</v>
      </c>
      <c r="F511" s="1" t="str">
        <f>""</f>
        <v/>
      </c>
      <c r="G511" s="1" t="str">
        <f>"DIS299"</f>
        <v>DIS299</v>
      </c>
      <c r="H511" s="1" t="str">
        <f t="shared" si="167"/>
        <v>REL17</v>
      </c>
      <c r="I511" s="1" t="str">
        <f>"P0679"</f>
        <v>P0679</v>
      </c>
      <c r="J511" s="1" t="str">
        <f t="shared" si="166"/>
        <v>S01C</v>
      </c>
      <c r="K511" s="1" t="str">
        <f t="shared" si="166"/>
        <v>S01C</v>
      </c>
      <c r="L511" s="1" t="str">
        <f t="shared" si="142"/>
        <v>R</v>
      </c>
      <c r="M511" s="1" t="str">
        <f t="shared" si="164"/>
        <v>T12</v>
      </c>
      <c r="N511" s="1" t="str">
        <f t="shared" si="150"/>
        <v>Y</v>
      </c>
      <c r="O511" s="1" t="str">
        <f t="shared" si="168"/>
        <v>Y</v>
      </c>
      <c r="P511" s="1" t="str">
        <f t="shared" si="143"/>
        <v>Y</v>
      </c>
      <c r="Q511" s="1" t="str">
        <f>""</f>
        <v/>
      </c>
    </row>
    <row r="512" spans="1:17" x14ac:dyDescent="0.3">
      <c r="A512" s="1" t="str">
        <f t="shared" si="160"/>
        <v>C1</v>
      </c>
      <c r="B512" s="1" t="str">
        <f>"BEI603"</f>
        <v>BEI603</v>
      </c>
      <c r="C512" s="1" t="s">
        <v>140</v>
      </c>
      <c r="D512" s="1" t="s">
        <v>141</v>
      </c>
      <c r="E512" s="1" t="str">
        <f t="shared" si="165"/>
        <v>WOK02</v>
      </c>
      <c r="F512" s="1" t="str">
        <f>""</f>
        <v/>
      </c>
      <c r="G512" s="1" t="str">
        <f>"DIS201"</f>
        <v>DIS201</v>
      </c>
      <c r="H512" s="1" t="str">
        <f t="shared" si="167"/>
        <v>REL17</v>
      </c>
      <c r="I512" s="1" t="str">
        <f>"P0680"</f>
        <v>P0680</v>
      </c>
      <c r="J512" s="1" t="str">
        <f t="shared" si="166"/>
        <v>S01C</v>
      </c>
      <c r="K512" s="1" t="str">
        <f t="shared" si="166"/>
        <v>S01C</v>
      </c>
      <c r="L512" s="1" t="str">
        <f t="shared" si="142"/>
        <v>R</v>
      </c>
      <c r="M512" s="1" t="str">
        <f t="shared" si="164"/>
        <v>T12</v>
      </c>
      <c r="N512" s="1" t="str">
        <f t="shared" si="150"/>
        <v>Y</v>
      </c>
      <c r="O512" s="1" t="str">
        <f t="shared" si="168"/>
        <v>Y</v>
      </c>
      <c r="P512" s="1" t="str">
        <f t="shared" si="143"/>
        <v>Y</v>
      </c>
      <c r="Q512" s="1" t="str">
        <f>""</f>
        <v/>
      </c>
    </row>
    <row r="513" spans="1:17" x14ac:dyDescent="0.3">
      <c r="A513" s="1" t="str">
        <f t="shared" si="160"/>
        <v>C1</v>
      </c>
      <c r="B513" s="1" t="str">
        <f>"BEI604"</f>
        <v>BEI604</v>
      </c>
      <c r="C513" s="1" t="str">
        <f>"수은과폭로주의(3개월이내추적검사)"</f>
        <v>수은과폭로주의(3개월이내추적검사)</v>
      </c>
      <c r="D513" s="1" t="s">
        <v>142</v>
      </c>
      <c r="E513" s="1" t="str">
        <f t="shared" si="165"/>
        <v>WOK02</v>
      </c>
      <c r="F513" s="1" t="str">
        <f>""</f>
        <v/>
      </c>
      <c r="G513" s="1" t="str">
        <f>"DIS305"</f>
        <v>DIS305</v>
      </c>
      <c r="H513" s="1" t="str">
        <f t="shared" si="167"/>
        <v>REL17</v>
      </c>
      <c r="I513" s="1" t="str">
        <f>"P0681"</f>
        <v>P0681</v>
      </c>
      <c r="J513" s="1" t="str">
        <f t="shared" si="166"/>
        <v>S01C</v>
      </c>
      <c r="K513" s="1" t="str">
        <f t="shared" si="166"/>
        <v>S01C</v>
      </c>
      <c r="L513" s="1" t="str">
        <f t="shared" si="142"/>
        <v>R</v>
      </c>
      <c r="M513" s="1" t="str">
        <f t="shared" si="164"/>
        <v>T12</v>
      </c>
      <c r="N513" s="1" t="str">
        <f t="shared" si="150"/>
        <v>Y</v>
      </c>
      <c r="O513" s="1" t="str">
        <f t="shared" si="168"/>
        <v>Y</v>
      </c>
      <c r="P513" s="1" t="str">
        <f t="shared" si="143"/>
        <v>Y</v>
      </c>
      <c r="Q513" s="1" t="str">
        <f>""</f>
        <v/>
      </c>
    </row>
    <row r="514" spans="1:17" x14ac:dyDescent="0.3">
      <c r="A514" s="1" t="str">
        <f t="shared" si="160"/>
        <v>C1</v>
      </c>
      <c r="B514" s="1" t="str">
        <f>"BEI605"</f>
        <v>BEI605</v>
      </c>
      <c r="C514" s="1" t="str">
        <f>"칼복시혈색소과폭로주의(3개월이내추적검사)"</f>
        <v>칼복시혈색소과폭로주의(3개월이내추적검사)</v>
      </c>
      <c r="D514" s="1" t="s">
        <v>143</v>
      </c>
      <c r="E514" s="1" t="str">
        <f t="shared" si="165"/>
        <v>WOK02</v>
      </c>
      <c r="F514" s="1" t="str">
        <f>""</f>
        <v/>
      </c>
      <c r="G514" s="1" t="str">
        <f>"DIS410"</f>
        <v>DIS410</v>
      </c>
      <c r="H514" s="1" t="str">
        <f t="shared" si="167"/>
        <v>REL17</v>
      </c>
      <c r="I514" s="1" t="str">
        <f>"P0682"</f>
        <v>P0682</v>
      </c>
      <c r="J514" s="1" t="str">
        <f t="shared" si="166"/>
        <v>S01C</v>
      </c>
      <c r="K514" s="1" t="str">
        <f t="shared" si="166"/>
        <v>S01C</v>
      </c>
      <c r="L514" s="1" t="str">
        <f t="shared" si="142"/>
        <v>R</v>
      </c>
      <c r="M514" s="1" t="str">
        <f t="shared" si="164"/>
        <v>T12</v>
      </c>
      <c r="N514" s="1" t="str">
        <f t="shared" si="150"/>
        <v>Y</v>
      </c>
      <c r="O514" s="1" t="str">
        <f t="shared" si="168"/>
        <v>Y</v>
      </c>
      <c r="P514" s="1" t="str">
        <f t="shared" si="143"/>
        <v>Y</v>
      </c>
      <c r="Q514" s="1" t="str">
        <f>""</f>
        <v/>
      </c>
    </row>
    <row r="515" spans="1:17" x14ac:dyDescent="0.3">
      <c r="A515" s="1" t="str">
        <f t="shared" si="160"/>
        <v>C1</v>
      </c>
      <c r="B515" s="1" t="str">
        <f>"CLC1"</f>
        <v>CLC1</v>
      </c>
      <c r="C515" s="1" t="str">
        <f>"염소 기체 노출"</f>
        <v>염소 기체 노출</v>
      </c>
      <c r="D515" s="1" t="str">
        <f>"현재 이상 소견은 없으나 염소 기체 노출이 있었던 것으로 추정됩니다. 호흡기 감염 등에 취약해 질 수 있으므로 건강에 주의를 요합니다."</f>
        <v>현재 이상 소견은 없으나 염소 기체 노출이 있었던 것으로 추정됩니다. 호흡기 감염 등에 취약해 질 수 있으므로 건강에 주의를 요합니다.</v>
      </c>
      <c r="E515" s="1" t="str">
        <f t="shared" si="165"/>
        <v>WOK02</v>
      </c>
      <c r="F515" s="1" t="str">
        <f>"PTM03"</f>
        <v>PTM03</v>
      </c>
      <c r="G515" s="1" t="str">
        <f>"DIS407"</f>
        <v>DIS407</v>
      </c>
      <c r="H515" s="1" t="str">
        <f>"REL00"</f>
        <v>REL00</v>
      </c>
      <c r="I515" s="1" t="str">
        <f>"P0658"</f>
        <v>P0658</v>
      </c>
      <c r="J515" s="1" t="str">
        <f>"C00C"</f>
        <v>C00C</v>
      </c>
      <c r="K515" s="1" t="str">
        <f>"N01C"</f>
        <v>N01C</v>
      </c>
      <c r="L515" s="1" t="str">
        <f t="shared" si="142"/>
        <v>R</v>
      </c>
      <c r="M515" s="1" t="str">
        <f>"T04"</f>
        <v>T04</v>
      </c>
      <c r="N515" s="1" t="str">
        <f t="shared" si="150"/>
        <v>Y</v>
      </c>
      <c r="O515" s="1" t="str">
        <f t="shared" si="168"/>
        <v>Y</v>
      </c>
      <c r="P515" s="1" t="str">
        <f t="shared" si="143"/>
        <v>Y</v>
      </c>
      <c r="Q515" s="1" t="str">
        <f t="shared" ref="Q515:Q527" si="169">"A"</f>
        <v>A</v>
      </c>
    </row>
    <row r="516" spans="1:17" x14ac:dyDescent="0.3">
      <c r="A516" s="1" t="str">
        <f t="shared" si="160"/>
        <v>C1</v>
      </c>
      <c r="B516" s="1" t="str">
        <f>"COH301"</f>
        <v>COH301</v>
      </c>
      <c r="C516" s="1" t="str">
        <f>"카르복시혈색소 초과"</f>
        <v>카르복시혈색소 초과</v>
      </c>
      <c r="D516" s="1" t="s">
        <v>144</v>
      </c>
      <c r="E516" s="1" t="str">
        <f t="shared" si="165"/>
        <v>WOK02</v>
      </c>
      <c r="F516" s="1" t="str">
        <f>"PTM02"</f>
        <v>PTM02</v>
      </c>
      <c r="G516" s="1" t="str">
        <f>"DISI"</f>
        <v>DISI</v>
      </c>
      <c r="H516" s="1" t="str">
        <f>"REL06"</f>
        <v>REL06</v>
      </c>
      <c r="I516" s="1" t="str">
        <f>"N0148"</f>
        <v>N0148</v>
      </c>
      <c r="J516" s="1" t="str">
        <f t="shared" ref="J516:K519" si="170">"S01C"</f>
        <v>S01C</v>
      </c>
      <c r="K516" s="1" t="str">
        <f t="shared" si="170"/>
        <v>S01C</v>
      </c>
      <c r="L516" s="1" t="str">
        <f t="shared" si="142"/>
        <v>R</v>
      </c>
      <c r="M516" s="1" t="str">
        <f>"T12"</f>
        <v>T12</v>
      </c>
      <c r="N516" s="1" t="str">
        <f t="shared" si="150"/>
        <v>Y</v>
      </c>
      <c r="O516" s="1" t="str">
        <f t="shared" si="168"/>
        <v>Y</v>
      </c>
      <c r="P516" s="1" t="str">
        <f t="shared" si="143"/>
        <v>Y</v>
      </c>
      <c r="Q516" s="1" t="str">
        <f t="shared" si="169"/>
        <v>A</v>
      </c>
    </row>
    <row r="517" spans="1:17" x14ac:dyDescent="0.3">
      <c r="A517" s="1" t="str">
        <f t="shared" si="160"/>
        <v>C1</v>
      </c>
      <c r="B517" s="1" t="str">
        <f>"COH302"</f>
        <v>COH302</v>
      </c>
      <c r="C517" s="1" t="str">
        <f>"카르복시혈색소 초과"</f>
        <v>카르복시혈색소 초과</v>
      </c>
      <c r="D517" s="1" t="str">
        <f>"단순히 흡연에 의해 증가할수 있는 수치이므로 금연하시고 추적검사를 하세요."</f>
        <v>단순히 흡연에 의해 증가할수 있는 수치이므로 금연하시고 추적검사를 하세요.</v>
      </c>
      <c r="E517" s="1" t="str">
        <f t="shared" si="165"/>
        <v>WOK02</v>
      </c>
      <c r="F517" s="1" t="str">
        <f>"PTM03"</f>
        <v>PTM03</v>
      </c>
      <c r="G517" s="1" t="str">
        <f>"DISI"</f>
        <v>DISI</v>
      </c>
      <c r="H517" s="1" t="str">
        <f>"REL06"</f>
        <v>REL06</v>
      </c>
      <c r="I517" s="1" t="str">
        <f>""</f>
        <v/>
      </c>
      <c r="J517" s="1" t="str">
        <f t="shared" si="170"/>
        <v>S01C</v>
      </c>
      <c r="K517" s="1" t="str">
        <f t="shared" si="170"/>
        <v>S01C</v>
      </c>
      <c r="L517" s="1" t="str">
        <f t="shared" si="142"/>
        <v>R</v>
      </c>
      <c r="M517" s="1" t="str">
        <f>"T12"</f>
        <v>T12</v>
      </c>
      <c r="N517" s="1" t="str">
        <f t="shared" si="150"/>
        <v>Y</v>
      </c>
      <c r="O517" s="1" t="str">
        <f t="shared" si="168"/>
        <v>Y</v>
      </c>
      <c r="P517" s="1" t="str">
        <f t="shared" si="143"/>
        <v>Y</v>
      </c>
      <c r="Q517" s="1" t="str">
        <f t="shared" si="169"/>
        <v>A</v>
      </c>
    </row>
    <row r="518" spans="1:17" x14ac:dyDescent="0.3">
      <c r="A518" s="1" t="str">
        <f t="shared" si="160"/>
        <v>C1</v>
      </c>
      <c r="B518" s="1" t="str">
        <f>"COH303"</f>
        <v>COH303</v>
      </c>
      <c r="C518" s="1" t="str">
        <f>"카르복시혈색소 초과"</f>
        <v>카르복시혈색소 초과</v>
      </c>
      <c r="D518" s="1" t="s">
        <v>145</v>
      </c>
      <c r="E518" s="1" t="str">
        <f t="shared" si="165"/>
        <v>WOK02</v>
      </c>
      <c r="F518" s="1" t="str">
        <f>"PTM02"</f>
        <v>PTM02</v>
      </c>
      <c r="G518" s="1" t="str">
        <f>"DISI"</f>
        <v>DISI</v>
      </c>
      <c r="H518" s="1" t="str">
        <f>"REL06"</f>
        <v>REL06</v>
      </c>
      <c r="I518" s="1" t="str">
        <f>"N0148"</f>
        <v>N0148</v>
      </c>
      <c r="J518" s="1" t="str">
        <f t="shared" si="170"/>
        <v>S01C</v>
      </c>
      <c r="K518" s="1" t="str">
        <f t="shared" si="170"/>
        <v>S01C</v>
      </c>
      <c r="L518" s="1" t="str">
        <f t="shared" si="142"/>
        <v>R</v>
      </c>
      <c r="M518" s="1" t="str">
        <f>"T12"</f>
        <v>T12</v>
      </c>
      <c r="N518" s="1" t="str">
        <f t="shared" si="150"/>
        <v>Y</v>
      </c>
      <c r="O518" s="1" t="str">
        <f t="shared" si="168"/>
        <v>Y</v>
      </c>
      <c r="P518" s="1" t="str">
        <f t="shared" si="143"/>
        <v>Y</v>
      </c>
      <c r="Q518" s="1" t="str">
        <f t="shared" si="169"/>
        <v>A</v>
      </c>
    </row>
    <row r="519" spans="1:17" x14ac:dyDescent="0.3">
      <c r="A519" s="1" t="str">
        <f t="shared" si="160"/>
        <v>C1</v>
      </c>
      <c r="B519" s="1" t="str">
        <f>"DER301"</f>
        <v>DER301</v>
      </c>
      <c r="C519" s="1" t="str">
        <f>"접촉성 피부염주의"</f>
        <v>접촉성 피부염주의</v>
      </c>
      <c r="D519" s="1" t="s">
        <v>146</v>
      </c>
      <c r="E519" s="1" t="str">
        <f t="shared" si="165"/>
        <v>WOK02</v>
      </c>
      <c r="F519" s="1" t="str">
        <f>"PTM02"</f>
        <v>PTM02</v>
      </c>
      <c r="G519" s="1" t="str">
        <f>"DIS299"</f>
        <v>DIS299</v>
      </c>
      <c r="H519" s="1" t="str">
        <f>"REL13"</f>
        <v>REL13</v>
      </c>
      <c r="I519" s="1" t="str">
        <f>""</f>
        <v/>
      </c>
      <c r="J519" s="1" t="str">
        <f t="shared" si="170"/>
        <v>S01C</v>
      </c>
      <c r="K519" s="1" t="str">
        <f t="shared" si="170"/>
        <v>S01C</v>
      </c>
      <c r="L519" s="1" t="str">
        <f t="shared" si="142"/>
        <v>R</v>
      </c>
      <c r="M519" s="1" t="str">
        <f>"T08"</f>
        <v>T08</v>
      </c>
      <c r="N519" s="1" t="str">
        <f t="shared" si="150"/>
        <v>Y</v>
      </c>
      <c r="O519" s="1" t="str">
        <f t="shared" si="168"/>
        <v>Y</v>
      </c>
      <c r="P519" s="1" t="str">
        <f t="shared" si="143"/>
        <v>Y</v>
      </c>
      <c r="Q519" s="1" t="str">
        <f t="shared" si="169"/>
        <v>A</v>
      </c>
    </row>
    <row r="520" spans="1:17" x14ac:dyDescent="0.3">
      <c r="A520" s="1" t="str">
        <f t="shared" si="160"/>
        <v>C1</v>
      </c>
      <c r="B520" s="1" t="str">
        <f>"E001"</f>
        <v>E001</v>
      </c>
      <c r="C520" s="1" t="str">
        <f>"(치아상태)법랑질표면부식"</f>
        <v>(치아상태)법랑질표면부식</v>
      </c>
      <c r="D520" s="1" t="s">
        <v>147</v>
      </c>
      <c r="E520" s="1" t="str">
        <f t="shared" si="165"/>
        <v>WOK02</v>
      </c>
      <c r="F520" s="1" t="str">
        <f t="shared" ref="F520:F526" si="171">"PTM01"</f>
        <v>PTM01</v>
      </c>
      <c r="G520" s="1" t="str">
        <f>"DISR"</f>
        <v>DISR</v>
      </c>
      <c r="H520" s="1" t="str">
        <f>"REL00"</f>
        <v>REL00</v>
      </c>
      <c r="I520" s="1" t="str">
        <f>""</f>
        <v/>
      </c>
      <c r="J520" s="1" t="str">
        <f t="shared" ref="J520:K524" si="172">"C30C"</f>
        <v>C30C</v>
      </c>
      <c r="K520" s="1" t="str">
        <f t="shared" si="172"/>
        <v>C30C</v>
      </c>
      <c r="L520" s="1" t="str">
        <f t="shared" si="142"/>
        <v>R</v>
      </c>
      <c r="M520" s="1" t="str">
        <f>"T11"</f>
        <v>T11</v>
      </c>
      <c r="N520" s="1" t="str">
        <f t="shared" si="150"/>
        <v>Y</v>
      </c>
      <c r="O520" s="1" t="str">
        <f t="shared" si="168"/>
        <v>Y</v>
      </c>
      <c r="P520" s="1" t="str">
        <f t="shared" si="143"/>
        <v>Y</v>
      </c>
      <c r="Q520" s="1" t="str">
        <f t="shared" si="169"/>
        <v>A</v>
      </c>
    </row>
    <row r="521" spans="1:17" x14ac:dyDescent="0.3">
      <c r="A521" s="1" t="str">
        <f t="shared" si="160"/>
        <v>C1</v>
      </c>
      <c r="B521" s="1" t="str">
        <f>"E002"</f>
        <v>E002</v>
      </c>
      <c r="C521" s="1" t="str">
        <f>"(치아상태)법랑질파괴부식"</f>
        <v>(치아상태)법랑질파괴부식</v>
      </c>
      <c r="D521" s="1" t="s">
        <v>148</v>
      </c>
      <c r="E521" s="1" t="str">
        <f t="shared" si="165"/>
        <v>WOK02</v>
      </c>
      <c r="F521" s="1" t="str">
        <f t="shared" si="171"/>
        <v>PTM01</v>
      </c>
      <c r="G521" s="1" t="str">
        <f>"DISR"</f>
        <v>DISR</v>
      </c>
      <c r="H521" s="1" t="str">
        <f>"REL00"</f>
        <v>REL00</v>
      </c>
      <c r="I521" s="1" t="str">
        <f>""</f>
        <v/>
      </c>
      <c r="J521" s="1" t="str">
        <f t="shared" si="172"/>
        <v>C30C</v>
      </c>
      <c r="K521" s="1" t="str">
        <f t="shared" si="172"/>
        <v>C30C</v>
      </c>
      <c r="L521" s="1" t="str">
        <f t="shared" ref="L521:L584" si="173">"R"</f>
        <v>R</v>
      </c>
      <c r="M521" s="1" t="str">
        <f>"T11"</f>
        <v>T11</v>
      </c>
      <c r="N521" s="1" t="str">
        <f t="shared" si="150"/>
        <v>Y</v>
      </c>
      <c r="O521" s="1" t="str">
        <f t="shared" si="168"/>
        <v>Y</v>
      </c>
      <c r="P521" s="1" t="str">
        <f t="shared" si="143"/>
        <v>Y</v>
      </c>
      <c r="Q521" s="1" t="str">
        <f t="shared" si="169"/>
        <v>A</v>
      </c>
    </row>
    <row r="522" spans="1:17" x14ac:dyDescent="0.3">
      <c r="A522" s="1" t="str">
        <f t="shared" si="160"/>
        <v>C1</v>
      </c>
      <c r="B522" s="1" t="str">
        <f>"E003"</f>
        <v>E003</v>
      </c>
      <c r="C522" s="1" t="str">
        <f>"(치아상태)상아질파괴부식"</f>
        <v>(치아상태)상아질파괴부식</v>
      </c>
      <c r="D522" s="1" t="s">
        <v>149</v>
      </c>
      <c r="E522" s="1" t="str">
        <f t="shared" si="165"/>
        <v>WOK02</v>
      </c>
      <c r="F522" s="1" t="str">
        <f t="shared" si="171"/>
        <v>PTM01</v>
      </c>
      <c r="G522" s="1" t="str">
        <f>"DISR"</f>
        <v>DISR</v>
      </c>
      <c r="H522" s="1" t="str">
        <f>"REL00"</f>
        <v>REL00</v>
      </c>
      <c r="I522" s="1" t="str">
        <f>""</f>
        <v/>
      </c>
      <c r="J522" s="1" t="str">
        <f t="shared" si="172"/>
        <v>C30C</v>
      </c>
      <c r="K522" s="1" t="str">
        <f t="shared" si="172"/>
        <v>C30C</v>
      </c>
      <c r="L522" s="1" t="str">
        <f t="shared" si="173"/>
        <v>R</v>
      </c>
      <c r="M522" s="1" t="str">
        <f>"T11"</f>
        <v>T11</v>
      </c>
      <c r="N522" s="1" t="str">
        <f t="shared" si="150"/>
        <v>Y</v>
      </c>
      <c r="O522" s="1" t="str">
        <f t="shared" si="168"/>
        <v>Y</v>
      </c>
      <c r="P522" s="1" t="str">
        <f t="shared" ref="P522:P585" si="174">"Y"</f>
        <v>Y</v>
      </c>
      <c r="Q522" s="1" t="str">
        <f t="shared" si="169"/>
        <v>A</v>
      </c>
    </row>
    <row r="523" spans="1:17" x14ac:dyDescent="0.3">
      <c r="A523" s="1" t="str">
        <f t="shared" si="160"/>
        <v>C1</v>
      </c>
      <c r="B523" s="1" t="str">
        <f>"E004"</f>
        <v>E004</v>
      </c>
      <c r="C523" s="1" t="str">
        <f>"(치아상태)2차상아질파괴부식"</f>
        <v>(치아상태)2차상아질파괴부식</v>
      </c>
      <c r="D523" s="1" t="s">
        <v>150</v>
      </c>
      <c r="E523" s="1" t="str">
        <f t="shared" si="165"/>
        <v>WOK02</v>
      </c>
      <c r="F523" s="1" t="str">
        <f t="shared" si="171"/>
        <v>PTM01</v>
      </c>
      <c r="G523" s="1" t="str">
        <f>"DISR"</f>
        <v>DISR</v>
      </c>
      <c r="H523" s="1" t="str">
        <f>"REL00"</f>
        <v>REL00</v>
      </c>
      <c r="I523" s="1" t="str">
        <f>""</f>
        <v/>
      </c>
      <c r="J523" s="1" t="str">
        <f t="shared" si="172"/>
        <v>C30C</v>
      </c>
      <c r="K523" s="1" t="str">
        <f t="shared" si="172"/>
        <v>C30C</v>
      </c>
      <c r="L523" s="1" t="str">
        <f t="shared" si="173"/>
        <v>R</v>
      </c>
      <c r="M523" s="1" t="str">
        <f>"T11"</f>
        <v>T11</v>
      </c>
      <c r="N523" s="1" t="str">
        <f t="shared" si="150"/>
        <v>Y</v>
      </c>
      <c r="O523" s="1" t="str">
        <f t="shared" si="168"/>
        <v>Y</v>
      </c>
      <c r="P523" s="1" t="str">
        <f t="shared" si="174"/>
        <v>Y</v>
      </c>
      <c r="Q523" s="1" t="str">
        <f t="shared" si="169"/>
        <v>A</v>
      </c>
    </row>
    <row r="524" spans="1:17" x14ac:dyDescent="0.3">
      <c r="A524" s="1" t="str">
        <f t="shared" si="160"/>
        <v>C1</v>
      </c>
      <c r="B524" s="1" t="str">
        <f>"E005"</f>
        <v>E005</v>
      </c>
      <c r="C524" s="1" t="str">
        <f>"(치아상태)치주노출부식"</f>
        <v>(치아상태)치주노출부식</v>
      </c>
      <c r="D524" s="1" t="s">
        <v>151</v>
      </c>
      <c r="E524" s="1" t="str">
        <f t="shared" si="165"/>
        <v>WOK02</v>
      </c>
      <c r="F524" s="1" t="str">
        <f t="shared" si="171"/>
        <v>PTM01</v>
      </c>
      <c r="G524" s="1" t="str">
        <f>"DISR"</f>
        <v>DISR</v>
      </c>
      <c r="H524" s="1" t="str">
        <f>"REL00"</f>
        <v>REL00</v>
      </c>
      <c r="I524" s="1" t="str">
        <f>""</f>
        <v/>
      </c>
      <c r="J524" s="1" t="str">
        <f t="shared" si="172"/>
        <v>C30C</v>
      </c>
      <c r="K524" s="1" t="str">
        <f t="shared" si="172"/>
        <v>C30C</v>
      </c>
      <c r="L524" s="1" t="str">
        <f t="shared" si="173"/>
        <v>R</v>
      </c>
      <c r="M524" s="1" t="str">
        <f>"T11"</f>
        <v>T11</v>
      </c>
      <c r="N524" s="1" t="str">
        <f t="shared" si="150"/>
        <v>Y</v>
      </c>
      <c r="O524" s="1" t="str">
        <f t="shared" si="168"/>
        <v>Y</v>
      </c>
      <c r="P524" s="1" t="str">
        <f t="shared" si="174"/>
        <v>Y</v>
      </c>
      <c r="Q524" s="1" t="str">
        <f t="shared" si="169"/>
        <v>A</v>
      </c>
    </row>
    <row r="525" spans="1:17" x14ac:dyDescent="0.3">
      <c r="A525" s="1" t="str">
        <f t="shared" si="160"/>
        <v>C1</v>
      </c>
      <c r="B525" s="1" t="str">
        <f>"EMP206"</f>
        <v>EMP206</v>
      </c>
      <c r="C525" s="1" t="str">
        <f>"악력저하"</f>
        <v>악력저하</v>
      </c>
      <c r="D525" s="1" t="str">
        <f>"손으로 하는 작업 중 3kg이상의 제품의 취급은 제한해야 하며 악력강화운동이 필요합니다."</f>
        <v>손으로 하는 작업 중 3kg이상의 제품의 취급은 제한해야 하며 악력강화운동이 필요합니다.</v>
      </c>
      <c r="E525" s="1" t="str">
        <f t="shared" si="165"/>
        <v>WOK02</v>
      </c>
      <c r="F525" s="1" t="str">
        <f t="shared" si="171"/>
        <v>PTM01</v>
      </c>
      <c r="G525" s="1" t="str">
        <f>"DISM"</f>
        <v>DISM</v>
      </c>
      <c r="H525" s="1" t="str">
        <f>"REL22"</f>
        <v>REL22</v>
      </c>
      <c r="I525" s="1" t="str">
        <f>""</f>
        <v/>
      </c>
      <c r="J525" s="1" t="str">
        <f>"C43C"</f>
        <v>C43C</v>
      </c>
      <c r="K525" s="1" t="str">
        <f>"C43C"</f>
        <v>C43C</v>
      </c>
      <c r="L525" s="1" t="str">
        <f t="shared" si="173"/>
        <v>R</v>
      </c>
      <c r="M525" s="1" t="str">
        <f>"T062"</f>
        <v>T062</v>
      </c>
      <c r="N525" s="1" t="str">
        <f t="shared" si="150"/>
        <v>Y</v>
      </c>
      <c r="O525" s="1" t="str">
        <f t="shared" si="168"/>
        <v>Y</v>
      </c>
      <c r="P525" s="1" t="str">
        <f t="shared" si="174"/>
        <v>Y</v>
      </c>
      <c r="Q525" s="1" t="str">
        <f t="shared" si="169"/>
        <v>A</v>
      </c>
    </row>
    <row r="526" spans="1:17" x14ac:dyDescent="0.3">
      <c r="A526" s="1" t="str">
        <f t="shared" si="160"/>
        <v>C1</v>
      </c>
      <c r="B526" s="1" t="str">
        <f>"EMP3051"</f>
        <v>EMP3051</v>
      </c>
      <c r="C526" s="1" t="str">
        <f>"요잠혈주의"</f>
        <v>요잠혈주의</v>
      </c>
      <c r="D526" s="1" t="s">
        <v>152</v>
      </c>
      <c r="E526" s="1" t="str">
        <f t="shared" si="165"/>
        <v>WOK02</v>
      </c>
      <c r="F526" s="1" t="str">
        <f t="shared" si="171"/>
        <v>PTM01</v>
      </c>
      <c r="G526" s="1" t="str">
        <f>"DISN"</f>
        <v>DISN</v>
      </c>
      <c r="H526" s="1" t="str">
        <f>"REL08"</f>
        <v>REL08</v>
      </c>
      <c r="I526" s="1" t="str">
        <f>""</f>
        <v/>
      </c>
      <c r="J526" s="1" t="str">
        <f>"S01C"</f>
        <v>S01C</v>
      </c>
      <c r="K526" s="1" t="str">
        <f>"S01C"</f>
        <v>S01C</v>
      </c>
      <c r="L526" s="1" t="str">
        <f t="shared" si="173"/>
        <v>R</v>
      </c>
      <c r="M526" s="1" t="str">
        <f>"T05"</f>
        <v>T05</v>
      </c>
      <c r="N526" s="1" t="str">
        <f t="shared" si="150"/>
        <v>Y</v>
      </c>
      <c r="O526" s="1" t="str">
        <f t="shared" si="168"/>
        <v>Y</v>
      </c>
      <c r="P526" s="1" t="str">
        <f t="shared" si="174"/>
        <v>Y</v>
      </c>
      <c r="Q526" s="1" t="str">
        <f t="shared" si="169"/>
        <v>A</v>
      </c>
    </row>
    <row r="527" spans="1:17" x14ac:dyDescent="0.3">
      <c r="A527" s="1" t="str">
        <f t="shared" ref="A527:A558" si="175">"C1"</f>
        <v>C1</v>
      </c>
      <c r="B527" s="1" t="str">
        <f>"FBEI104"</f>
        <v>FBEI104</v>
      </c>
      <c r="C527" s="1" t="str">
        <f>"카드뮴 과폭로 의심"</f>
        <v>카드뮴 과폭로 의심</v>
      </c>
      <c r="D527" s="1" t="str">
        <f>"카드뮴 과폭로 의심으로 정밀건강진단 대상자 입니다"</f>
        <v>카드뮴 과폭로 의심으로 정밀건강진단 대상자 입니다</v>
      </c>
      <c r="E527" s="1" t="str">
        <f>""</f>
        <v/>
      </c>
      <c r="F527" s="1" t="str">
        <f>"PTF03"</f>
        <v>PTF03</v>
      </c>
      <c r="G527" s="1" t="str">
        <f>"DIS308"</f>
        <v>DIS308</v>
      </c>
      <c r="H527" s="1" t="str">
        <f>"REL16"</f>
        <v>REL16</v>
      </c>
      <c r="I527" s="1" t="str">
        <f>"N0125"</f>
        <v>N0125</v>
      </c>
      <c r="J527" s="1" t="str">
        <f>"S01R"</f>
        <v>S01R</v>
      </c>
      <c r="K527" s="1" t="str">
        <f>"S01R"</f>
        <v>S01R</v>
      </c>
      <c r="L527" s="1" t="str">
        <f t="shared" si="173"/>
        <v>R</v>
      </c>
      <c r="M527" s="1" t="str">
        <f>"T12"</f>
        <v>T12</v>
      </c>
      <c r="N527" s="1" t="str">
        <f t="shared" si="150"/>
        <v>Y</v>
      </c>
      <c r="O527" s="1" t="str">
        <f t="shared" si="168"/>
        <v>Y</v>
      </c>
      <c r="P527" s="1" t="str">
        <f t="shared" si="174"/>
        <v>Y</v>
      </c>
      <c r="Q527" s="1" t="str">
        <f t="shared" si="169"/>
        <v>A</v>
      </c>
    </row>
    <row r="528" spans="1:17" x14ac:dyDescent="0.3">
      <c r="A528" s="1" t="str">
        <f t="shared" si="175"/>
        <v>C1</v>
      </c>
      <c r="B528" s="1" t="str">
        <f>"FGNSL100"</f>
        <v>FGNSL100</v>
      </c>
      <c r="C528" s="1" t="str">
        <f>"(양측)감각신경성 난청 주의 (정밀검사:고막운동성검사 권유)"</f>
        <v>(양측)감각신경성 난청 주의 (정밀검사:고막운동성검사 권유)</v>
      </c>
      <c r="D528" s="1" t="str">
        <f>"경미한 청력저하로 악화 예방위한 보호구 착용 권유드립니다. 필요시 이비인후과적 정밀진단검사를 받으시기 바랍니다."</f>
        <v>경미한 청력저하로 악화 예방위한 보호구 착용 권유드립니다. 필요시 이비인후과적 정밀진단검사를 받으시기 바랍니다.</v>
      </c>
      <c r="E528" s="1" t="str">
        <f>"WOK02"</f>
        <v>WOK02</v>
      </c>
      <c r="F528" s="1" t="str">
        <f>"PTM10"</f>
        <v>PTM10</v>
      </c>
      <c r="G528" s="1" t="str">
        <f>"DIS110"</f>
        <v>DIS110</v>
      </c>
      <c r="H528" s="1" t="str">
        <f>"REL19"</f>
        <v>REL19</v>
      </c>
      <c r="I528" s="1" t="str">
        <f>"01"</f>
        <v>01</v>
      </c>
      <c r="J528" s="1" t="str">
        <f t="shared" ref="J528:K530" si="176">"S01C"</f>
        <v>S01C</v>
      </c>
      <c r="K528" s="1" t="str">
        <f t="shared" si="176"/>
        <v>S01C</v>
      </c>
      <c r="L528" s="1" t="str">
        <f t="shared" si="173"/>
        <v>R</v>
      </c>
      <c r="M528" s="1" t="str">
        <f>"T10"</f>
        <v>T10</v>
      </c>
      <c r="N528" s="1" t="str">
        <f t="shared" si="150"/>
        <v>Y</v>
      </c>
      <c r="O528" s="1" t="str">
        <f t="shared" si="168"/>
        <v>Y</v>
      </c>
      <c r="P528" s="1" t="str">
        <f t="shared" si="174"/>
        <v>Y</v>
      </c>
      <c r="Q528" s="1" t="str">
        <f>"R"</f>
        <v>R</v>
      </c>
    </row>
    <row r="529" spans="1:17" x14ac:dyDescent="0.3">
      <c r="A529" s="1" t="str">
        <f t="shared" si="175"/>
        <v>C1</v>
      </c>
      <c r="B529" s="1" t="str">
        <f>"FGNSL101"</f>
        <v>FGNSL101</v>
      </c>
      <c r="C529" s="1" t="str">
        <f>"(우측)감각신경성 난청 주의 (정밀검사:고막운동성검사 권유)"</f>
        <v>(우측)감각신경성 난청 주의 (정밀검사:고막운동성검사 권유)</v>
      </c>
      <c r="D529" s="1" t="str">
        <f>"경미한 청력저하로 악화 예방위한 보호구 착용 권유드립니다. 필요시 이비인후과적 정밀진단검사를 받으시기 바랍니다."</f>
        <v>경미한 청력저하로 악화 예방위한 보호구 착용 권유드립니다. 필요시 이비인후과적 정밀진단검사를 받으시기 바랍니다.</v>
      </c>
      <c r="E529" s="1" t="str">
        <f>"WOK02"</f>
        <v>WOK02</v>
      </c>
      <c r="F529" s="1" t="str">
        <f>"PTM10"</f>
        <v>PTM10</v>
      </c>
      <c r="G529" s="1" t="str">
        <f>"DIS110"</f>
        <v>DIS110</v>
      </c>
      <c r="H529" s="1" t="str">
        <f>"REL19"</f>
        <v>REL19</v>
      </c>
      <c r="I529" s="1" t="str">
        <f>"01"</f>
        <v>01</v>
      </c>
      <c r="J529" s="1" t="str">
        <f t="shared" si="176"/>
        <v>S01C</v>
      </c>
      <c r="K529" s="1" t="str">
        <f t="shared" si="176"/>
        <v>S01C</v>
      </c>
      <c r="L529" s="1" t="str">
        <f t="shared" si="173"/>
        <v>R</v>
      </c>
      <c r="M529" s="1" t="str">
        <f>"T10"</f>
        <v>T10</v>
      </c>
      <c r="N529" s="1" t="str">
        <f t="shared" si="150"/>
        <v>Y</v>
      </c>
      <c r="O529" s="1" t="str">
        <f t="shared" si="168"/>
        <v>Y</v>
      </c>
      <c r="P529" s="1" t="str">
        <f t="shared" si="174"/>
        <v>Y</v>
      </c>
      <c r="Q529" s="1" t="str">
        <f>"R"</f>
        <v>R</v>
      </c>
    </row>
    <row r="530" spans="1:17" x14ac:dyDescent="0.3">
      <c r="A530" s="1" t="str">
        <f t="shared" si="175"/>
        <v>C1</v>
      </c>
      <c r="B530" s="1" t="str">
        <f>"FGNSL102"</f>
        <v>FGNSL102</v>
      </c>
      <c r="C530" s="1" t="str">
        <f>"(좌측)감각신경성 난청 주의 (정밀검사:고막운동성검사 권유)"</f>
        <v>(좌측)감각신경성 난청 주의 (정밀검사:고막운동성검사 권유)</v>
      </c>
      <c r="D530" s="1" t="str">
        <f>"경미한 청력저하로 악화 예방위한 보호구 착용 권유드립니다. 필요시 이비인후과적 정밀진단검사를 받으시기 바랍니다."</f>
        <v>경미한 청력저하로 악화 예방위한 보호구 착용 권유드립니다. 필요시 이비인후과적 정밀진단검사를 받으시기 바랍니다.</v>
      </c>
      <c r="E530" s="1" t="str">
        <f>"WOK02"</f>
        <v>WOK02</v>
      </c>
      <c r="F530" s="1" t="str">
        <f>"PTM10"</f>
        <v>PTM10</v>
      </c>
      <c r="G530" s="1" t="str">
        <f>"DIS110"</f>
        <v>DIS110</v>
      </c>
      <c r="H530" s="1" t="str">
        <f>"REL19"</f>
        <v>REL19</v>
      </c>
      <c r="I530" s="1" t="str">
        <f>"01"</f>
        <v>01</v>
      </c>
      <c r="J530" s="1" t="str">
        <f t="shared" si="176"/>
        <v>S01C</v>
      </c>
      <c r="K530" s="1" t="str">
        <f t="shared" si="176"/>
        <v>S01C</v>
      </c>
      <c r="L530" s="1" t="str">
        <f t="shared" si="173"/>
        <v>R</v>
      </c>
      <c r="M530" s="1" t="str">
        <f>"T10"</f>
        <v>T10</v>
      </c>
      <c r="N530" s="1" t="str">
        <f t="shared" si="150"/>
        <v>Y</v>
      </c>
      <c r="O530" s="1" t="str">
        <f t="shared" si="168"/>
        <v>Y</v>
      </c>
      <c r="P530" s="1" t="str">
        <f t="shared" si="174"/>
        <v>Y</v>
      </c>
      <c r="Q530" s="1" t="str">
        <f>"R"</f>
        <v>R</v>
      </c>
    </row>
    <row r="531" spans="1:17" x14ac:dyDescent="0.3">
      <c r="A531" s="1" t="str">
        <f t="shared" si="175"/>
        <v>C1</v>
      </c>
      <c r="B531" s="1" t="str">
        <f>"FJ0186"</f>
        <v>FJ0186</v>
      </c>
      <c r="C531" s="1" t="str">
        <f>"혈중납 초과 의심"</f>
        <v>혈중납 초과 의심</v>
      </c>
      <c r="D531" s="1" t="str">
        <f>"납에 과폭로된 상태이므로. 정밀건강진단 받으세요. 보호구착용 철저히 하세요."</f>
        <v>납에 과폭로된 상태이므로. 정밀건강진단 받으세요. 보호구착용 철저히 하세요.</v>
      </c>
      <c r="E531" s="1" t="str">
        <f>""</f>
        <v/>
      </c>
      <c r="F531" s="1" t="str">
        <f>"PTF03"</f>
        <v>PTF03</v>
      </c>
      <c r="G531" s="1" t="str">
        <f>"DIS306"</f>
        <v>DIS306</v>
      </c>
      <c r="H531" s="1" t="str">
        <f>"REL16"</f>
        <v>REL16</v>
      </c>
      <c r="I531" s="1" t="str">
        <f>"N0111"</f>
        <v>N0111</v>
      </c>
      <c r="J531" s="1" t="str">
        <f>"S01R"</f>
        <v>S01R</v>
      </c>
      <c r="K531" s="1" t="str">
        <f>"S01R"</f>
        <v>S01R</v>
      </c>
      <c r="L531" s="1" t="str">
        <f t="shared" si="173"/>
        <v>R</v>
      </c>
      <c r="M531" s="1" t="str">
        <f>"T12"</f>
        <v>T12</v>
      </c>
      <c r="N531" s="1" t="str">
        <f t="shared" si="150"/>
        <v>Y</v>
      </c>
      <c r="O531" s="1" t="str">
        <f t="shared" si="168"/>
        <v>Y</v>
      </c>
      <c r="P531" s="1" t="str">
        <f t="shared" si="174"/>
        <v>Y</v>
      </c>
      <c r="Q531" s="1" t="str">
        <f>"A"</f>
        <v>A</v>
      </c>
    </row>
    <row r="532" spans="1:17" x14ac:dyDescent="0.3">
      <c r="A532" s="1" t="str">
        <f t="shared" si="175"/>
        <v>C1</v>
      </c>
      <c r="B532" s="1" t="str">
        <f>"FM0001"</f>
        <v>FM0001</v>
      </c>
      <c r="C532" s="1" t="str">
        <f>"(우측)감각신경성 난청 주의 (정밀검사:고막운동성검사 권유)"</f>
        <v>(우측)감각신경성 난청 주의 (정밀검사:고막운동성검사 권유)</v>
      </c>
      <c r="D532" s="1" t="str">
        <f>"경미한 청력저하로 악화 예방위한 보호구 착용 권유드립니다. 필요시 이비인후과적 정밀진단검사를 받으시기 바랍니다."</f>
        <v>경미한 청력저하로 악화 예방위한 보호구 착용 권유드립니다. 필요시 이비인후과적 정밀진단검사를 받으시기 바랍니다.</v>
      </c>
      <c r="E532" s="1" t="str">
        <f t="shared" ref="E532:E550" si="177">"WOK02"</f>
        <v>WOK02</v>
      </c>
      <c r="F532" s="1" t="str">
        <f>"PTM01"</f>
        <v>PTM01</v>
      </c>
      <c r="G532" s="1" t="str">
        <f>"DIS110"</f>
        <v>DIS110</v>
      </c>
      <c r="H532" s="1" t="str">
        <f>"REL19"</f>
        <v>REL19</v>
      </c>
      <c r="I532" s="1" t="str">
        <f>"01"</f>
        <v>01</v>
      </c>
      <c r="J532" s="1" t="str">
        <f t="shared" ref="J532:K535" si="178">"S01C"</f>
        <v>S01C</v>
      </c>
      <c r="K532" s="1" t="str">
        <f t="shared" si="178"/>
        <v>S01C</v>
      </c>
      <c r="L532" s="1" t="str">
        <f t="shared" si="173"/>
        <v>R</v>
      </c>
      <c r="M532" s="1" t="str">
        <f>"T10"</f>
        <v>T10</v>
      </c>
      <c r="N532" s="1" t="str">
        <f t="shared" si="150"/>
        <v>Y</v>
      </c>
      <c r="O532" s="1" t="str">
        <f t="shared" si="168"/>
        <v>Y</v>
      </c>
      <c r="P532" s="1" t="str">
        <f t="shared" si="174"/>
        <v>Y</v>
      </c>
      <c r="Q532" s="1" t="str">
        <f>"R"</f>
        <v>R</v>
      </c>
    </row>
    <row r="533" spans="1:17" x14ac:dyDescent="0.3">
      <c r="A533" s="1" t="str">
        <f t="shared" si="175"/>
        <v>C1</v>
      </c>
      <c r="B533" s="1" t="str">
        <f>"FM0002"</f>
        <v>FM0002</v>
      </c>
      <c r="C533" s="1" t="str">
        <f>"(좌측)감각신경성 난청 주의 (정밀검사:고막운동성검사 권유)"</f>
        <v>(좌측)감각신경성 난청 주의 (정밀검사:고막운동성검사 권유)</v>
      </c>
      <c r="D533" s="1" t="str">
        <f>"경미한 청력저하로 악화 예방위한 보호구 착용 권유드립니다. 필요시 이비인후과적 정밀진단검사를 받으시기 바랍니다."</f>
        <v>경미한 청력저하로 악화 예방위한 보호구 착용 권유드립니다. 필요시 이비인후과적 정밀진단검사를 받으시기 바랍니다.</v>
      </c>
      <c r="E533" s="1" t="str">
        <f t="shared" si="177"/>
        <v>WOK02</v>
      </c>
      <c r="F533" s="1" t="str">
        <f>"PTM01"</f>
        <v>PTM01</v>
      </c>
      <c r="G533" s="1" t="str">
        <f>"DIS110"</f>
        <v>DIS110</v>
      </c>
      <c r="H533" s="1" t="str">
        <f>"REL19"</f>
        <v>REL19</v>
      </c>
      <c r="I533" s="1" t="str">
        <f>"01"</f>
        <v>01</v>
      </c>
      <c r="J533" s="1" t="str">
        <f t="shared" si="178"/>
        <v>S01C</v>
      </c>
      <c r="K533" s="1" t="str">
        <f t="shared" si="178"/>
        <v>S01C</v>
      </c>
      <c r="L533" s="1" t="str">
        <f t="shared" si="173"/>
        <v>R</v>
      </c>
      <c r="M533" s="1" t="str">
        <f>"T10"</f>
        <v>T10</v>
      </c>
      <c r="N533" s="1" t="str">
        <f t="shared" si="150"/>
        <v>Y</v>
      </c>
      <c r="O533" s="1" t="str">
        <f t="shared" si="168"/>
        <v>Y</v>
      </c>
      <c r="P533" s="1" t="str">
        <f t="shared" si="174"/>
        <v>Y</v>
      </c>
      <c r="Q533" s="1" t="str">
        <f>"L"</f>
        <v>L</v>
      </c>
    </row>
    <row r="534" spans="1:17" x14ac:dyDescent="0.3">
      <c r="A534" s="1" t="str">
        <f t="shared" si="175"/>
        <v>C1</v>
      </c>
      <c r="B534" s="1" t="str">
        <f>"HEP311"</f>
        <v>HEP311</v>
      </c>
      <c r="C534" s="1" t="str">
        <f>"간 질환주의"</f>
        <v>간 질환주의</v>
      </c>
      <c r="D534" s="1" t="str">
        <f>"작업관련 유해물질에 의한 간기능 상승이 의심됩니다. 작업시 보호구착용 철저히 하세요."</f>
        <v>작업관련 유해물질에 의한 간기능 상승이 의심됩니다. 작업시 보호구착용 철저히 하세요.</v>
      </c>
      <c r="E534" s="1" t="str">
        <f t="shared" si="177"/>
        <v>WOK02</v>
      </c>
      <c r="F534" s="1" t="str">
        <f>"PTM02"</f>
        <v>PTM02</v>
      </c>
      <c r="G534" s="1" t="str">
        <f>"DISK"</f>
        <v>DISK</v>
      </c>
      <c r="H534" s="1" t="str">
        <f>"REL05"</f>
        <v>REL05</v>
      </c>
      <c r="I534" s="1" t="str">
        <f>""</f>
        <v/>
      </c>
      <c r="J534" s="1" t="str">
        <f t="shared" si="178"/>
        <v>S01C</v>
      </c>
      <c r="K534" s="1" t="str">
        <f t="shared" si="178"/>
        <v>S01C</v>
      </c>
      <c r="L534" s="1" t="str">
        <f t="shared" si="173"/>
        <v>R</v>
      </c>
      <c r="M534" s="1" t="str">
        <f>"T02"</f>
        <v>T02</v>
      </c>
      <c r="N534" s="1" t="str">
        <f t="shared" si="150"/>
        <v>Y</v>
      </c>
      <c r="O534" s="1" t="str">
        <f t="shared" si="168"/>
        <v>Y</v>
      </c>
      <c r="P534" s="1" t="str">
        <f t="shared" si="174"/>
        <v>Y</v>
      </c>
      <c r="Q534" s="1" t="str">
        <f t="shared" ref="Q534:Q539" si="179">"A"</f>
        <v>A</v>
      </c>
    </row>
    <row r="535" spans="1:17" x14ac:dyDescent="0.3">
      <c r="A535" s="1" t="str">
        <f t="shared" si="175"/>
        <v>C1</v>
      </c>
      <c r="B535" s="1" t="str">
        <f>"HEP312"</f>
        <v>HEP312</v>
      </c>
      <c r="C535" s="1" t="str">
        <f>"간 질환주의"</f>
        <v>간 질환주의</v>
      </c>
      <c r="D535" s="1" t="str">
        <f>"유기화합물에 의한 간기능 상승이 의심됩니다. 작업시 환기를 자주하시고 보호구착용을 철저히 하세요."</f>
        <v>유기화합물에 의한 간기능 상승이 의심됩니다. 작업시 환기를 자주하시고 보호구착용을 철저히 하세요.</v>
      </c>
      <c r="E535" s="1" t="str">
        <f t="shared" si="177"/>
        <v>WOK02</v>
      </c>
      <c r="F535" s="1" t="str">
        <f>"PTM02"</f>
        <v>PTM02</v>
      </c>
      <c r="G535" s="1" t="str">
        <f>"DISK"</f>
        <v>DISK</v>
      </c>
      <c r="H535" s="1" t="str">
        <f>"REL05"</f>
        <v>REL05</v>
      </c>
      <c r="I535" s="1" t="str">
        <f>""</f>
        <v/>
      </c>
      <c r="J535" s="1" t="str">
        <f t="shared" si="178"/>
        <v>S01C</v>
      </c>
      <c r="K535" s="1" t="str">
        <f t="shared" si="178"/>
        <v>S01C</v>
      </c>
      <c r="L535" s="1" t="str">
        <f t="shared" si="173"/>
        <v>R</v>
      </c>
      <c r="M535" s="1" t="str">
        <f>"T02"</f>
        <v>T02</v>
      </c>
      <c r="N535" s="1" t="str">
        <f t="shared" si="150"/>
        <v>Y</v>
      </c>
      <c r="O535" s="1" t="str">
        <f t="shared" si="168"/>
        <v>Y</v>
      </c>
      <c r="P535" s="1" t="str">
        <f t="shared" si="174"/>
        <v>Y</v>
      </c>
      <c r="Q535" s="1" t="str">
        <f t="shared" si="179"/>
        <v>A</v>
      </c>
    </row>
    <row r="536" spans="1:17" x14ac:dyDescent="0.3">
      <c r="A536" s="1" t="str">
        <f t="shared" si="175"/>
        <v>C1</v>
      </c>
      <c r="B536" s="1" t="str">
        <f>"HEP403"</f>
        <v>HEP403</v>
      </c>
      <c r="C536" s="1" t="str">
        <f>"간 질환주의"</f>
        <v>간 질환주의</v>
      </c>
      <c r="D536" s="1" t="str">
        <f>"도장관련 작업시 보호구착용을 철저히 하세요"</f>
        <v>도장관련 작업시 보호구착용을 철저히 하세요</v>
      </c>
      <c r="E536" s="1" t="str">
        <f t="shared" si="177"/>
        <v>WOK02</v>
      </c>
      <c r="F536" s="1" t="str">
        <f>"PTM02"</f>
        <v>PTM02</v>
      </c>
      <c r="G536" s="1" t="str">
        <f>"DISK"</f>
        <v>DISK</v>
      </c>
      <c r="H536" s="1" t="str">
        <f>"REL05"</f>
        <v>REL05</v>
      </c>
      <c r="I536" s="1" t="str">
        <f>""</f>
        <v/>
      </c>
      <c r="J536" s="1" t="str">
        <f>"C05C"</f>
        <v>C05C</v>
      </c>
      <c r="K536" s="1" t="str">
        <f>"C05C"</f>
        <v>C05C</v>
      </c>
      <c r="L536" s="1" t="str">
        <f t="shared" si="173"/>
        <v>R</v>
      </c>
      <c r="M536" s="1" t="str">
        <f>"T02"</f>
        <v>T02</v>
      </c>
      <c r="N536" s="1" t="str">
        <f t="shared" si="150"/>
        <v>Y</v>
      </c>
      <c r="O536" s="1" t="str">
        <f t="shared" si="168"/>
        <v>Y</v>
      </c>
      <c r="P536" s="1" t="str">
        <f t="shared" si="174"/>
        <v>Y</v>
      </c>
      <c r="Q536" s="1" t="str">
        <f t="shared" si="179"/>
        <v>A</v>
      </c>
    </row>
    <row r="537" spans="1:17" x14ac:dyDescent="0.3">
      <c r="A537" s="1" t="str">
        <f t="shared" si="175"/>
        <v>C1</v>
      </c>
      <c r="B537" s="1" t="str">
        <f>"HWDICHLO02"</f>
        <v>HWDICHLO02</v>
      </c>
      <c r="C537" s="1" t="s">
        <v>153</v>
      </c>
      <c r="D537" s="1" t="s">
        <v>154</v>
      </c>
      <c r="E537" s="1" t="str">
        <f t="shared" si="177"/>
        <v>WOK02</v>
      </c>
      <c r="F537" s="1" t="str">
        <f>""</f>
        <v/>
      </c>
      <c r="G537" s="1" t="str">
        <f>"DIS299"</f>
        <v>DIS299</v>
      </c>
      <c r="H537" s="1" t="str">
        <f>"REL17"</f>
        <v>REL17</v>
      </c>
      <c r="I537" s="1" t="str">
        <f>""</f>
        <v/>
      </c>
      <c r="J537" s="1" t="str">
        <f>"S01C"</f>
        <v>S01C</v>
      </c>
      <c r="K537" s="1" t="str">
        <f>"S01C"</f>
        <v>S01C</v>
      </c>
      <c r="L537" s="1" t="str">
        <f t="shared" si="173"/>
        <v>R</v>
      </c>
      <c r="M537" s="1" t="str">
        <f>"T12"</f>
        <v>T12</v>
      </c>
      <c r="N537" s="1" t="str">
        <f t="shared" si="150"/>
        <v>Y</v>
      </c>
      <c r="O537" s="1" t="str">
        <f t="shared" si="168"/>
        <v>Y</v>
      </c>
      <c r="P537" s="1" t="str">
        <f t="shared" si="174"/>
        <v>Y</v>
      </c>
      <c r="Q537" s="1" t="str">
        <f t="shared" si="179"/>
        <v>A</v>
      </c>
    </row>
    <row r="538" spans="1:17" x14ac:dyDescent="0.3">
      <c r="A538" s="1" t="str">
        <f t="shared" si="175"/>
        <v>C1</v>
      </c>
      <c r="B538" s="1" t="str">
        <f>"HWINDIUM02"</f>
        <v>HWINDIUM02</v>
      </c>
      <c r="C538" s="1" t="str">
        <f>"인듐 과폭로주의(3개월이내추적검사)"</f>
        <v>인듐 과폭로주의(3개월이내추적검사)</v>
      </c>
      <c r="D538" s="1" t="s">
        <v>155</v>
      </c>
      <c r="E538" s="1" t="str">
        <f t="shared" si="177"/>
        <v>WOK02</v>
      </c>
      <c r="F538" s="1" t="str">
        <f>""</f>
        <v/>
      </c>
      <c r="G538" s="1" t="str">
        <f>"DIS399"</f>
        <v>DIS399</v>
      </c>
      <c r="H538" s="1" t="str">
        <f>"REL17"</f>
        <v>REL17</v>
      </c>
      <c r="I538" s="1" t="str">
        <f>""</f>
        <v/>
      </c>
      <c r="J538" s="1" t="str">
        <f>"S01C"</f>
        <v>S01C</v>
      </c>
      <c r="K538" s="1" t="str">
        <f>"S01C"</f>
        <v>S01C</v>
      </c>
      <c r="L538" s="1" t="str">
        <f t="shared" si="173"/>
        <v>R</v>
      </c>
      <c r="M538" s="1" t="str">
        <f>"T12"</f>
        <v>T12</v>
      </c>
      <c r="N538" s="1" t="str">
        <f t="shared" si="150"/>
        <v>Y</v>
      </c>
      <c r="O538" s="1" t="str">
        <f t="shared" si="168"/>
        <v>Y</v>
      </c>
      <c r="P538" s="1" t="str">
        <f t="shared" si="174"/>
        <v>Y</v>
      </c>
      <c r="Q538" s="1" t="str">
        <f t="shared" si="179"/>
        <v>A</v>
      </c>
    </row>
    <row r="539" spans="1:17" x14ac:dyDescent="0.3">
      <c r="A539" s="1" t="str">
        <f t="shared" si="175"/>
        <v>C1</v>
      </c>
      <c r="B539" s="1" t="str">
        <f>"J0004"</f>
        <v>J0004</v>
      </c>
      <c r="C539" s="1" t="str">
        <f>"레이노 증후군 의심"</f>
        <v>레이노 증후군 의심</v>
      </c>
      <c r="D539" s="1" t="s">
        <v>156</v>
      </c>
      <c r="E539" s="1" t="str">
        <f t="shared" si="177"/>
        <v>WOK02</v>
      </c>
      <c r="F539" s="1" t="str">
        <f>"PTM01"</f>
        <v>PTM01</v>
      </c>
      <c r="G539" s="1" t="str">
        <f>"DIS130"</f>
        <v>DIS130</v>
      </c>
      <c r="H539" s="1" t="str">
        <f>"REL18"</f>
        <v>REL18</v>
      </c>
      <c r="I539" s="1" t="str">
        <f>""</f>
        <v/>
      </c>
      <c r="J539" s="1" t="str">
        <f>"C30C"</f>
        <v>C30C</v>
      </c>
      <c r="K539" s="1" t="str">
        <f>"C30C"</f>
        <v>C30C</v>
      </c>
      <c r="L539" s="1" t="str">
        <f t="shared" si="173"/>
        <v>R</v>
      </c>
      <c r="M539" s="1" t="str">
        <f>"T08"</f>
        <v>T08</v>
      </c>
      <c r="N539" s="1" t="str">
        <f t="shared" si="150"/>
        <v>Y</v>
      </c>
      <c r="O539" s="1" t="str">
        <f t="shared" si="168"/>
        <v>Y</v>
      </c>
      <c r="P539" s="1" t="str">
        <f t="shared" si="174"/>
        <v>Y</v>
      </c>
      <c r="Q539" s="1" t="str">
        <f t="shared" si="179"/>
        <v>A</v>
      </c>
    </row>
    <row r="540" spans="1:17" x14ac:dyDescent="0.3">
      <c r="A540" s="1" t="str">
        <f t="shared" si="175"/>
        <v>C1</v>
      </c>
      <c r="B540" s="1" t="str">
        <f>"J0007"</f>
        <v>J0007</v>
      </c>
      <c r="C540" s="1" t="str">
        <f>"(우측)소음성난청 요관찰"</f>
        <v>(우측)소음성난청 요관찰</v>
      </c>
      <c r="D540" s="1" t="s">
        <v>157</v>
      </c>
      <c r="E540" s="1" t="str">
        <f t="shared" si="177"/>
        <v>WOK02</v>
      </c>
      <c r="F540" s="1" t="str">
        <f t="shared" ref="F540:F545" si="180">"PTM02"</f>
        <v>PTM02</v>
      </c>
      <c r="G540" s="1" t="str">
        <f>"DIS110"</f>
        <v>DIS110</v>
      </c>
      <c r="H540" s="1" t="str">
        <f>"REL19"</f>
        <v>REL19</v>
      </c>
      <c r="I540" s="1" t="str">
        <f>"01"</f>
        <v>01</v>
      </c>
      <c r="J540" s="1" t="str">
        <f t="shared" ref="J540:K542" si="181">"S01C"</f>
        <v>S01C</v>
      </c>
      <c r="K540" s="1" t="str">
        <f t="shared" si="181"/>
        <v>S01C</v>
      </c>
      <c r="L540" s="1" t="str">
        <f t="shared" si="173"/>
        <v>R</v>
      </c>
      <c r="M540" s="1" t="str">
        <f>"T10"</f>
        <v>T10</v>
      </c>
      <c r="N540" s="1" t="str">
        <f t="shared" ref="N540:N603" si="182">"Y"</f>
        <v>Y</v>
      </c>
      <c r="O540" s="1" t="str">
        <f t="shared" si="168"/>
        <v>Y</v>
      </c>
      <c r="P540" s="1" t="str">
        <f t="shared" si="174"/>
        <v>Y</v>
      </c>
      <c r="Q540" s="1" t="str">
        <f>"R"</f>
        <v>R</v>
      </c>
    </row>
    <row r="541" spans="1:17" x14ac:dyDescent="0.3">
      <c r="A541" s="1" t="str">
        <f t="shared" si="175"/>
        <v>C1</v>
      </c>
      <c r="B541" s="1" t="str">
        <f>"J00077"</f>
        <v>J00077</v>
      </c>
      <c r="C541" s="1" t="str">
        <f>"(양측)소음성난청 요관찰"</f>
        <v>(양측)소음성난청 요관찰</v>
      </c>
      <c r="D541" s="1" t="s">
        <v>157</v>
      </c>
      <c r="E541" s="1" t="str">
        <f t="shared" si="177"/>
        <v>WOK02</v>
      </c>
      <c r="F541" s="1" t="str">
        <f t="shared" si="180"/>
        <v>PTM02</v>
      </c>
      <c r="G541" s="1" t="str">
        <f>"DIS110"</f>
        <v>DIS110</v>
      </c>
      <c r="H541" s="1" t="str">
        <f>"REL19"</f>
        <v>REL19</v>
      </c>
      <c r="I541" s="1" t="str">
        <f>"01"</f>
        <v>01</v>
      </c>
      <c r="J541" s="1" t="str">
        <f t="shared" si="181"/>
        <v>S01C</v>
      </c>
      <c r="K541" s="1" t="str">
        <f t="shared" si="181"/>
        <v>S01C</v>
      </c>
      <c r="L541" s="1" t="str">
        <f t="shared" si="173"/>
        <v>R</v>
      </c>
      <c r="M541" s="1" t="str">
        <f>"T10"</f>
        <v>T10</v>
      </c>
      <c r="N541" s="1" t="str">
        <f t="shared" si="182"/>
        <v>Y</v>
      </c>
      <c r="O541" s="1" t="str">
        <f t="shared" si="168"/>
        <v>Y</v>
      </c>
      <c r="P541" s="1" t="str">
        <f t="shared" si="174"/>
        <v>Y</v>
      </c>
      <c r="Q541" s="1" t="str">
        <f>"A"</f>
        <v>A</v>
      </c>
    </row>
    <row r="542" spans="1:17" x14ac:dyDescent="0.3">
      <c r="A542" s="1" t="str">
        <f t="shared" si="175"/>
        <v>C1</v>
      </c>
      <c r="B542" s="1" t="str">
        <f>"J0007H"</f>
        <v>J0007H</v>
      </c>
      <c r="C542" s="1" t="str">
        <f>"(우측)고주파수청력저하 요관찰"</f>
        <v>(우측)고주파수청력저하 요관찰</v>
      </c>
      <c r="D542" s="1" t="s">
        <v>158</v>
      </c>
      <c r="E542" s="1" t="str">
        <f t="shared" si="177"/>
        <v>WOK02</v>
      </c>
      <c r="F542" s="1" t="str">
        <f t="shared" si="180"/>
        <v>PTM02</v>
      </c>
      <c r="G542" s="1" t="str">
        <f>"DIS110"</f>
        <v>DIS110</v>
      </c>
      <c r="H542" s="1" t="str">
        <f>"REL19"</f>
        <v>REL19</v>
      </c>
      <c r="I542" s="1" t="str">
        <f>"01"</f>
        <v>01</v>
      </c>
      <c r="J542" s="1" t="str">
        <f t="shared" si="181"/>
        <v>S01C</v>
      </c>
      <c r="K542" s="1" t="str">
        <f t="shared" si="181"/>
        <v>S01C</v>
      </c>
      <c r="L542" s="1" t="str">
        <f t="shared" si="173"/>
        <v>R</v>
      </c>
      <c r="M542" s="1" t="str">
        <f>"T10"</f>
        <v>T10</v>
      </c>
      <c r="N542" s="1" t="str">
        <f t="shared" si="182"/>
        <v>Y</v>
      </c>
      <c r="O542" s="1" t="str">
        <f t="shared" si="168"/>
        <v>Y</v>
      </c>
      <c r="P542" s="1" t="str">
        <f t="shared" si="174"/>
        <v>Y</v>
      </c>
      <c r="Q542" s="1" t="str">
        <f>"R"</f>
        <v>R</v>
      </c>
    </row>
    <row r="543" spans="1:17" x14ac:dyDescent="0.3">
      <c r="A543" s="1" t="str">
        <f t="shared" si="175"/>
        <v>C1</v>
      </c>
      <c r="B543" s="1" t="str">
        <f>"J0009"</f>
        <v>J0009</v>
      </c>
      <c r="C543" s="1" t="str">
        <f>"(우측)혼합성난청 요관찰"</f>
        <v>(우측)혼합성난청 요관찰</v>
      </c>
      <c r="D543" s="1" t="s">
        <v>159</v>
      </c>
      <c r="E543" s="1" t="str">
        <f t="shared" si="177"/>
        <v>WOK02</v>
      </c>
      <c r="F543" s="1" t="str">
        <f t="shared" si="180"/>
        <v>PTM02</v>
      </c>
      <c r="G543" s="1" t="str">
        <f>"DISH"</f>
        <v>DISH</v>
      </c>
      <c r="H543" s="1" t="str">
        <f>"REL19"</f>
        <v>REL19</v>
      </c>
      <c r="I543" s="1" t="str">
        <f>"01"</f>
        <v>01</v>
      </c>
      <c r="J543" s="1" t="str">
        <f>"C55C"</f>
        <v>C55C</v>
      </c>
      <c r="K543" s="1" t="str">
        <f>"C55C"</f>
        <v>C55C</v>
      </c>
      <c r="L543" s="1" t="str">
        <f t="shared" si="173"/>
        <v>R</v>
      </c>
      <c r="M543" s="1" t="str">
        <f>"T10"</f>
        <v>T10</v>
      </c>
      <c r="N543" s="1" t="str">
        <f t="shared" si="182"/>
        <v>Y</v>
      </c>
      <c r="O543" s="1" t="str">
        <f t="shared" si="168"/>
        <v>Y</v>
      </c>
      <c r="P543" s="1" t="str">
        <f t="shared" si="174"/>
        <v>Y</v>
      </c>
      <c r="Q543" s="1" t="str">
        <f>"R"</f>
        <v>R</v>
      </c>
    </row>
    <row r="544" spans="1:17" x14ac:dyDescent="0.3">
      <c r="A544" s="1" t="str">
        <f t="shared" si="175"/>
        <v>C1</v>
      </c>
      <c r="B544" s="1" t="str">
        <f>"J0023"</f>
        <v>J0023</v>
      </c>
      <c r="C544" s="1" t="str">
        <f>"빈혈(납취급에 의한)"</f>
        <v>빈혈(납취급에 의한)</v>
      </c>
      <c r="D544" s="1" t="str">
        <f>"납 취급을 비롯하여 여러 원인에 의해 빈혈을 올 수 있습니다. 보호구 착용 및 추적관찰이 필요합니다."</f>
        <v>납 취급을 비롯하여 여러 원인에 의해 빈혈을 올 수 있습니다. 보호구 착용 및 추적관찰이 필요합니다.</v>
      </c>
      <c r="E544" s="1" t="str">
        <f t="shared" si="177"/>
        <v>WOK02</v>
      </c>
      <c r="F544" s="1" t="str">
        <f t="shared" si="180"/>
        <v>PTM02</v>
      </c>
      <c r="G544" s="1" t="str">
        <f>"DISD"</f>
        <v>DISD</v>
      </c>
      <c r="H544" s="1" t="str">
        <f>"REL12"</f>
        <v>REL12</v>
      </c>
      <c r="I544" s="1" t="str">
        <f>"N0111"</f>
        <v>N0111</v>
      </c>
      <c r="J544" s="1" t="str">
        <f t="shared" ref="J544:K547" si="183">"S01C"</f>
        <v>S01C</v>
      </c>
      <c r="K544" s="1" t="str">
        <f t="shared" si="183"/>
        <v>S01C</v>
      </c>
      <c r="L544" s="1" t="str">
        <f t="shared" si="173"/>
        <v>R</v>
      </c>
      <c r="M544" s="1" t="str">
        <f>"T01"</f>
        <v>T01</v>
      </c>
      <c r="N544" s="1" t="str">
        <f t="shared" si="182"/>
        <v>Y</v>
      </c>
      <c r="O544" s="1" t="str">
        <f t="shared" si="168"/>
        <v>Y</v>
      </c>
      <c r="P544" s="1" t="str">
        <f t="shared" si="174"/>
        <v>Y</v>
      </c>
      <c r="Q544" s="1" t="str">
        <f t="shared" ref="Q544:Q583" si="184">"A"</f>
        <v>A</v>
      </c>
    </row>
    <row r="545" spans="1:17" x14ac:dyDescent="0.3">
      <c r="A545" s="1" t="str">
        <f t="shared" si="175"/>
        <v>C1</v>
      </c>
      <c r="B545" s="1" t="str">
        <f>"J0057"</f>
        <v>J0057</v>
      </c>
      <c r="C545" s="1" t="str">
        <f>"톨루엔 노출주의"</f>
        <v>톨루엔 노출주의</v>
      </c>
      <c r="D545" s="1" t="str">
        <f>"톨루엔은 신경계나 간장질환을 유발할 수 있으니 보호구 착용하세요."</f>
        <v>톨루엔은 신경계나 간장질환을 유발할 수 있으니 보호구 착용하세요.</v>
      </c>
      <c r="E545" s="1" t="str">
        <f t="shared" si="177"/>
        <v>WOK02</v>
      </c>
      <c r="F545" s="1" t="str">
        <f t="shared" si="180"/>
        <v>PTM02</v>
      </c>
      <c r="G545" s="1" t="str">
        <f>"DISG"</f>
        <v>DISG</v>
      </c>
      <c r="H545" s="1" t="str">
        <f>"REL17"</f>
        <v>REL17</v>
      </c>
      <c r="I545" s="1" t="str">
        <f>"N0010"</f>
        <v>N0010</v>
      </c>
      <c r="J545" s="1" t="str">
        <f t="shared" si="183"/>
        <v>S01C</v>
      </c>
      <c r="K545" s="1" t="str">
        <f t="shared" si="183"/>
        <v>S01C</v>
      </c>
      <c r="L545" s="1" t="str">
        <f t="shared" si="173"/>
        <v>R</v>
      </c>
      <c r="M545" s="1" t="str">
        <f>"T12"</f>
        <v>T12</v>
      </c>
      <c r="N545" s="1" t="str">
        <f t="shared" si="182"/>
        <v>Y</v>
      </c>
      <c r="O545" s="1" t="str">
        <f t="shared" si="168"/>
        <v>Y</v>
      </c>
      <c r="P545" s="1" t="str">
        <f t="shared" si="174"/>
        <v>Y</v>
      </c>
      <c r="Q545" s="1" t="str">
        <f t="shared" si="184"/>
        <v>A</v>
      </c>
    </row>
    <row r="546" spans="1:17" x14ac:dyDescent="0.3">
      <c r="A546" s="1" t="str">
        <f t="shared" si="175"/>
        <v>C1</v>
      </c>
      <c r="B546" s="1" t="str">
        <f>"J0074X"</f>
        <v>J0074X</v>
      </c>
      <c r="C546" s="1" t="str">
        <f>"호흡기계 증상 주의"</f>
        <v>호흡기계 증상 주의</v>
      </c>
      <c r="D546" s="1" t="s">
        <v>160</v>
      </c>
      <c r="E546" s="1" t="str">
        <f t="shared" si="177"/>
        <v>WOK02</v>
      </c>
      <c r="F546" s="1" t="str">
        <f>""</f>
        <v/>
      </c>
      <c r="G546" s="1" t="str">
        <f>"DISJ"</f>
        <v>DISJ</v>
      </c>
      <c r="H546" s="1" t="str">
        <f>"REL02"</f>
        <v>REL02</v>
      </c>
      <c r="I546" s="1" t="str">
        <f>""</f>
        <v/>
      </c>
      <c r="J546" s="1" t="str">
        <f t="shared" si="183"/>
        <v>S01C</v>
      </c>
      <c r="K546" s="1" t="str">
        <f t="shared" si="183"/>
        <v>S01C</v>
      </c>
      <c r="L546" s="1" t="str">
        <f t="shared" si="173"/>
        <v>R</v>
      </c>
      <c r="M546" s="1" t="str">
        <f>"T04"</f>
        <v>T04</v>
      </c>
      <c r="N546" s="1" t="str">
        <f t="shared" si="182"/>
        <v>Y</v>
      </c>
      <c r="O546" s="1" t="str">
        <f>"N"</f>
        <v>N</v>
      </c>
      <c r="P546" s="1" t="str">
        <f t="shared" si="174"/>
        <v>Y</v>
      </c>
      <c r="Q546" s="1" t="str">
        <f t="shared" si="184"/>
        <v>A</v>
      </c>
    </row>
    <row r="547" spans="1:17" x14ac:dyDescent="0.3">
      <c r="A547" s="1" t="str">
        <f t="shared" si="175"/>
        <v>C1</v>
      </c>
      <c r="B547" s="1" t="str">
        <f>"J0098"</f>
        <v>J0098</v>
      </c>
      <c r="C547" s="1" t="str">
        <f>"간 질환주의"</f>
        <v>간 질환주의</v>
      </c>
      <c r="D547" s="1" t="str">
        <f>"작업과 관련하여 간수치가 증가될 수 있으니 보호구 착용 철저히 하세요."</f>
        <v>작업과 관련하여 간수치가 증가될 수 있으니 보호구 착용 철저히 하세요.</v>
      </c>
      <c r="E547" s="1" t="str">
        <f t="shared" si="177"/>
        <v>WOK02</v>
      </c>
      <c r="F547" s="1" t="str">
        <f>"PTM02"</f>
        <v>PTM02</v>
      </c>
      <c r="G547" s="1" t="str">
        <f>"DISK"</f>
        <v>DISK</v>
      </c>
      <c r="H547" s="1" t="str">
        <f>"REL05"</f>
        <v>REL05</v>
      </c>
      <c r="I547" s="1" t="str">
        <f>""</f>
        <v/>
      </c>
      <c r="J547" s="1" t="str">
        <f t="shared" si="183"/>
        <v>S01C</v>
      </c>
      <c r="K547" s="1" t="str">
        <f t="shared" si="183"/>
        <v>S01C</v>
      </c>
      <c r="L547" s="1" t="str">
        <f t="shared" si="173"/>
        <v>R</v>
      </c>
      <c r="M547" s="1" t="str">
        <f>"T02"</f>
        <v>T02</v>
      </c>
      <c r="N547" s="1" t="str">
        <f t="shared" si="182"/>
        <v>Y</v>
      </c>
      <c r="O547" s="1" t="str">
        <f t="shared" ref="O547:O582" si="185">"Y"</f>
        <v>Y</v>
      </c>
      <c r="P547" s="1" t="str">
        <f t="shared" si="174"/>
        <v>Y</v>
      </c>
      <c r="Q547" s="1" t="str">
        <f t="shared" si="184"/>
        <v>A</v>
      </c>
    </row>
    <row r="548" spans="1:17" x14ac:dyDescent="0.3">
      <c r="A548" s="1" t="str">
        <f t="shared" si="175"/>
        <v>C1</v>
      </c>
      <c r="B548" s="1" t="str">
        <f>"J0101"</f>
        <v>J0101</v>
      </c>
      <c r="C548" s="1" t="str">
        <f>"척추후방전위증"</f>
        <v>척추후방전위증</v>
      </c>
      <c r="D548" s="1" t="s">
        <v>161</v>
      </c>
      <c r="E548" s="1" t="str">
        <f t="shared" si="177"/>
        <v>WOK02</v>
      </c>
      <c r="F548" s="1" t="str">
        <f>"PTM01"</f>
        <v>PTM01</v>
      </c>
      <c r="G548" s="1" t="str">
        <f>"DISM"</f>
        <v>DISM</v>
      </c>
      <c r="H548" s="1" t="str">
        <f>"REL22"</f>
        <v>REL22</v>
      </c>
      <c r="I548" s="1" t="str">
        <f>""</f>
        <v/>
      </c>
      <c r="J548" s="1" t="str">
        <f>"C43C"</f>
        <v>C43C</v>
      </c>
      <c r="K548" s="1" t="str">
        <f>"C43C"</f>
        <v>C43C</v>
      </c>
      <c r="L548" s="1" t="str">
        <f t="shared" si="173"/>
        <v>R</v>
      </c>
      <c r="M548" s="1" t="str">
        <f>""</f>
        <v/>
      </c>
      <c r="N548" s="1" t="str">
        <f t="shared" si="182"/>
        <v>Y</v>
      </c>
      <c r="O548" s="1" t="str">
        <f t="shared" si="185"/>
        <v>Y</v>
      </c>
      <c r="P548" s="1" t="str">
        <f t="shared" si="174"/>
        <v>Y</v>
      </c>
      <c r="Q548" s="1" t="str">
        <f t="shared" si="184"/>
        <v>A</v>
      </c>
    </row>
    <row r="549" spans="1:17" x14ac:dyDescent="0.3">
      <c r="A549" s="1" t="str">
        <f t="shared" si="175"/>
        <v>C1</v>
      </c>
      <c r="B549" s="1" t="str">
        <f>"J0119"</f>
        <v>J0119</v>
      </c>
      <c r="C549" s="1" t="str">
        <f>"유리섬유 취급 주의"</f>
        <v>유리섬유 취급 주의</v>
      </c>
      <c r="D549" s="1" t="str">
        <f>"보호구 착용하여 근무하셔야 합니다."</f>
        <v>보호구 착용하여 근무하셔야 합니다.</v>
      </c>
      <c r="E549" s="1" t="str">
        <f t="shared" si="177"/>
        <v>WOK02</v>
      </c>
      <c r="F549" s="1" t="str">
        <f>""</f>
        <v/>
      </c>
      <c r="G549" s="1" t="str">
        <f>"DISL"</f>
        <v>DISL</v>
      </c>
      <c r="H549" s="1" t="str">
        <f>""</f>
        <v/>
      </c>
      <c r="I549" s="1" t="str">
        <f>"N0169"</f>
        <v>N0169</v>
      </c>
      <c r="J549" s="1" t="str">
        <f t="shared" ref="J549:K580" si="186">"S01C"</f>
        <v>S01C</v>
      </c>
      <c r="K549" s="1" t="str">
        <f t="shared" si="186"/>
        <v>S01C</v>
      </c>
      <c r="L549" s="1" t="str">
        <f t="shared" si="173"/>
        <v>R</v>
      </c>
      <c r="M549" s="1" t="str">
        <f>"T08"</f>
        <v>T08</v>
      </c>
      <c r="N549" s="1" t="str">
        <f t="shared" si="182"/>
        <v>Y</v>
      </c>
      <c r="O549" s="1" t="str">
        <f t="shared" si="185"/>
        <v>Y</v>
      </c>
      <c r="P549" s="1" t="str">
        <f t="shared" si="174"/>
        <v>Y</v>
      </c>
      <c r="Q549" s="1" t="str">
        <f t="shared" si="184"/>
        <v>A</v>
      </c>
    </row>
    <row r="550" spans="1:17" x14ac:dyDescent="0.3">
      <c r="A550" s="1" t="str">
        <f t="shared" si="175"/>
        <v>C1</v>
      </c>
      <c r="B550" s="1" t="str">
        <f>"J0128"</f>
        <v>J0128</v>
      </c>
      <c r="C550" s="1" t="str">
        <f>"일산화탄소 과폭로 주의"</f>
        <v>일산화탄소 과폭로 주의</v>
      </c>
      <c r="D550" s="1" t="s">
        <v>162</v>
      </c>
      <c r="E550" s="1" t="str">
        <f t="shared" si="177"/>
        <v>WOK02</v>
      </c>
      <c r="F550" s="1" t="str">
        <f>"PTM02"</f>
        <v>PTM02</v>
      </c>
      <c r="G550" s="1" t="str">
        <f>"DIS410"</f>
        <v>DIS410</v>
      </c>
      <c r="H550" s="1" t="str">
        <f>"REL06"</f>
        <v>REL06</v>
      </c>
      <c r="I550" s="1" t="str">
        <f>"N0148"</f>
        <v>N0148</v>
      </c>
      <c r="J550" s="1" t="str">
        <f t="shared" si="186"/>
        <v>S01C</v>
      </c>
      <c r="K550" s="1" t="str">
        <f t="shared" si="186"/>
        <v>S01C</v>
      </c>
      <c r="L550" s="1" t="str">
        <f t="shared" si="173"/>
        <v>R</v>
      </c>
      <c r="M550" s="1" t="str">
        <f>"T12"</f>
        <v>T12</v>
      </c>
      <c r="N550" s="1" t="str">
        <f t="shared" si="182"/>
        <v>Y</v>
      </c>
      <c r="O550" s="1" t="str">
        <f t="shared" si="185"/>
        <v>Y</v>
      </c>
      <c r="P550" s="1" t="str">
        <f t="shared" si="174"/>
        <v>Y</v>
      </c>
      <c r="Q550" s="1" t="str">
        <f t="shared" si="184"/>
        <v>A</v>
      </c>
    </row>
    <row r="551" spans="1:17" x14ac:dyDescent="0.3">
      <c r="A551" s="1" t="str">
        <f t="shared" si="175"/>
        <v>C1</v>
      </c>
      <c r="B551" s="1" t="str">
        <f>"J0166"</f>
        <v>J0166</v>
      </c>
      <c r="C551" s="1" t="str">
        <f>"톨루엔 과폭로 주의"</f>
        <v>톨루엔 과폭로 주의</v>
      </c>
      <c r="D551" s="1" t="s">
        <v>163</v>
      </c>
      <c r="E551" s="1" t="str">
        <f>""</f>
        <v/>
      </c>
      <c r="F551" s="1" t="str">
        <f>"PTM02"</f>
        <v>PTM02</v>
      </c>
      <c r="G551" s="1" t="str">
        <f>"DIS215"</f>
        <v>DIS215</v>
      </c>
      <c r="H551" s="1" t="str">
        <f>""</f>
        <v/>
      </c>
      <c r="I551" s="1" t="str">
        <f>""</f>
        <v/>
      </c>
      <c r="J551" s="1" t="str">
        <f t="shared" si="186"/>
        <v>S01C</v>
      </c>
      <c r="K551" s="1" t="str">
        <f t="shared" si="186"/>
        <v>S01C</v>
      </c>
      <c r="L551" s="1" t="str">
        <f t="shared" si="173"/>
        <v>R</v>
      </c>
      <c r="M551" s="1" t="str">
        <f>""</f>
        <v/>
      </c>
      <c r="N551" s="1" t="str">
        <f t="shared" si="182"/>
        <v>Y</v>
      </c>
      <c r="O551" s="1" t="str">
        <f t="shared" si="185"/>
        <v>Y</v>
      </c>
      <c r="P551" s="1" t="str">
        <f t="shared" si="174"/>
        <v>Y</v>
      </c>
      <c r="Q551" s="1" t="str">
        <f t="shared" si="184"/>
        <v>A</v>
      </c>
    </row>
    <row r="552" spans="1:17" x14ac:dyDescent="0.3">
      <c r="A552" s="1" t="str">
        <f t="shared" si="175"/>
        <v>C1</v>
      </c>
      <c r="B552" s="1" t="str">
        <f>"J0167"</f>
        <v>J0167</v>
      </c>
      <c r="C552" s="1" t="str">
        <f>"노말헥산 과폭로 주의"</f>
        <v>노말헥산 과폭로 주의</v>
      </c>
      <c r="D552" s="1" t="s">
        <v>164</v>
      </c>
      <c r="E552" s="1" t="str">
        <f t="shared" ref="E552:E583" si="187">"WOK02"</f>
        <v>WOK02</v>
      </c>
      <c r="F552" s="1" t="str">
        <f>"PTM02"</f>
        <v>PTM02</v>
      </c>
      <c r="G552" s="1" t="str">
        <f>"DIS201"</f>
        <v>DIS201</v>
      </c>
      <c r="H552" s="1" t="str">
        <f>"REL17"</f>
        <v>REL17</v>
      </c>
      <c r="I552" s="1" t="str">
        <f>"N0106"</f>
        <v>N0106</v>
      </c>
      <c r="J552" s="1" t="str">
        <f t="shared" si="186"/>
        <v>S01C</v>
      </c>
      <c r="K552" s="1" t="str">
        <f t="shared" si="186"/>
        <v>S01C</v>
      </c>
      <c r="L552" s="1" t="str">
        <f t="shared" si="173"/>
        <v>R</v>
      </c>
      <c r="M552" s="1" t="str">
        <f t="shared" ref="M552:M564" si="188">"T12"</f>
        <v>T12</v>
      </c>
      <c r="N552" s="1" t="str">
        <f t="shared" si="182"/>
        <v>Y</v>
      </c>
      <c r="O552" s="1" t="str">
        <f t="shared" si="185"/>
        <v>Y</v>
      </c>
      <c r="P552" s="1" t="str">
        <f t="shared" si="174"/>
        <v>Y</v>
      </c>
      <c r="Q552" s="1" t="str">
        <f t="shared" si="184"/>
        <v>A</v>
      </c>
    </row>
    <row r="553" spans="1:17" x14ac:dyDescent="0.3">
      <c r="A553" s="1" t="str">
        <f t="shared" si="175"/>
        <v>C1</v>
      </c>
      <c r="B553" s="1" t="str">
        <f>"J0169"</f>
        <v>J0169</v>
      </c>
      <c r="C553" s="1" t="str">
        <f>"톨루엔 과폭로 주의"</f>
        <v>톨루엔 과폭로 주의</v>
      </c>
      <c r="D553" s="1" t="str">
        <f>"톨루엔 노출정도가 다소 높습니다. 보호구 착용과 필요시 현장개선 등이 필요합니다."</f>
        <v>톨루엔 노출정도가 다소 높습니다. 보호구 착용과 필요시 현장개선 등이 필요합니다.</v>
      </c>
      <c r="E553" s="1" t="str">
        <f t="shared" si="187"/>
        <v>WOK02</v>
      </c>
      <c r="F553" s="1" t="str">
        <f>"PTM02"</f>
        <v>PTM02</v>
      </c>
      <c r="G553" s="1" t="str">
        <f>"DIS215"</f>
        <v>DIS215</v>
      </c>
      <c r="H553" s="1" t="str">
        <f>"REL17"</f>
        <v>REL17</v>
      </c>
      <c r="I553" s="1" t="str">
        <f>"N0010"</f>
        <v>N0010</v>
      </c>
      <c r="J553" s="1" t="str">
        <f t="shared" si="186"/>
        <v>S01C</v>
      </c>
      <c r="K553" s="1" t="str">
        <f t="shared" si="186"/>
        <v>S01C</v>
      </c>
      <c r="L553" s="1" t="str">
        <f t="shared" si="173"/>
        <v>R</v>
      </c>
      <c r="M553" s="1" t="str">
        <f t="shared" si="188"/>
        <v>T12</v>
      </c>
      <c r="N553" s="1" t="str">
        <f t="shared" si="182"/>
        <v>Y</v>
      </c>
      <c r="O553" s="1" t="str">
        <f t="shared" si="185"/>
        <v>Y</v>
      </c>
      <c r="P553" s="1" t="str">
        <f t="shared" si="174"/>
        <v>Y</v>
      </c>
      <c r="Q553" s="1" t="str">
        <f t="shared" si="184"/>
        <v>A</v>
      </c>
    </row>
    <row r="554" spans="1:17" x14ac:dyDescent="0.3">
      <c r="A554" s="1" t="str">
        <f t="shared" si="175"/>
        <v>C1</v>
      </c>
      <c r="B554" s="1" t="str">
        <f>"J0179"</f>
        <v>J0179</v>
      </c>
      <c r="C554" s="1" t="s">
        <v>165</v>
      </c>
      <c r="D554" s="1" t="s">
        <v>166</v>
      </c>
      <c r="E554" s="1" t="str">
        <f t="shared" si="187"/>
        <v>WOK02</v>
      </c>
      <c r="F554" s="1" t="str">
        <f>"PTM031"</f>
        <v>PTM031</v>
      </c>
      <c r="G554" s="1" t="str">
        <f>"DIS299"</f>
        <v>DIS299</v>
      </c>
      <c r="H554" s="1" t="str">
        <f>"REL17"</f>
        <v>REL17</v>
      </c>
      <c r="I554" s="1" t="str">
        <f>"N0014"</f>
        <v>N0014</v>
      </c>
      <c r="J554" s="1" t="str">
        <f t="shared" si="186"/>
        <v>S01C</v>
      </c>
      <c r="K554" s="1" t="str">
        <f t="shared" si="186"/>
        <v>S01C</v>
      </c>
      <c r="L554" s="1" t="str">
        <f t="shared" si="173"/>
        <v>R</v>
      </c>
      <c r="M554" s="1" t="str">
        <f t="shared" si="188"/>
        <v>T12</v>
      </c>
      <c r="N554" s="1" t="str">
        <f t="shared" si="182"/>
        <v>Y</v>
      </c>
      <c r="O554" s="1" t="str">
        <f t="shared" si="185"/>
        <v>Y</v>
      </c>
      <c r="P554" s="1" t="str">
        <f t="shared" si="174"/>
        <v>Y</v>
      </c>
      <c r="Q554" s="1" t="str">
        <f t="shared" si="184"/>
        <v>A</v>
      </c>
    </row>
    <row r="555" spans="1:17" x14ac:dyDescent="0.3">
      <c r="A555" s="1" t="str">
        <f t="shared" si="175"/>
        <v>C1</v>
      </c>
      <c r="B555" s="1" t="str">
        <f>"J0185"</f>
        <v>J0185</v>
      </c>
      <c r="C555" s="1" t="str">
        <f>"혈중징크프로토포피린 초과 주의"</f>
        <v>혈중징크프로토포피린 초과 주의</v>
      </c>
      <c r="D555" s="1" t="str">
        <f>"혈중징크프로토포피린 농도가 높습니다. 추적검사하세요."</f>
        <v>혈중징크프로토포피린 농도가 높습니다. 추적검사하세요.</v>
      </c>
      <c r="E555" s="1" t="str">
        <f t="shared" si="187"/>
        <v>WOK02</v>
      </c>
      <c r="F555" s="1" t="str">
        <f>"PTM02"</f>
        <v>PTM02</v>
      </c>
      <c r="G555" s="1" t="str">
        <f>"DIS306"</f>
        <v>DIS306</v>
      </c>
      <c r="H555" s="1" t="str">
        <f>"REL16"</f>
        <v>REL16</v>
      </c>
      <c r="I555" s="1" t="str">
        <f>"N0111"</f>
        <v>N0111</v>
      </c>
      <c r="J555" s="1" t="str">
        <f t="shared" si="186"/>
        <v>S01C</v>
      </c>
      <c r="K555" s="1" t="str">
        <f t="shared" si="186"/>
        <v>S01C</v>
      </c>
      <c r="L555" s="1" t="str">
        <f t="shared" si="173"/>
        <v>R</v>
      </c>
      <c r="M555" s="1" t="str">
        <f t="shared" si="188"/>
        <v>T12</v>
      </c>
      <c r="N555" s="1" t="str">
        <f t="shared" si="182"/>
        <v>Y</v>
      </c>
      <c r="O555" s="1" t="str">
        <f t="shared" si="185"/>
        <v>Y</v>
      </c>
      <c r="P555" s="1" t="str">
        <f t="shared" si="174"/>
        <v>Y</v>
      </c>
      <c r="Q555" s="1" t="str">
        <f t="shared" si="184"/>
        <v>A</v>
      </c>
    </row>
    <row r="556" spans="1:17" x14ac:dyDescent="0.3">
      <c r="A556" s="1" t="str">
        <f t="shared" si="175"/>
        <v>C1</v>
      </c>
      <c r="B556" s="1" t="str">
        <f>"J0194"</f>
        <v>J0194</v>
      </c>
      <c r="C556" s="1" t="str">
        <f>"톨루엔 과폭로 주의"</f>
        <v>톨루엔 과폭로 주의</v>
      </c>
      <c r="D556" s="1" t="str">
        <f>"2차검사상 정상이지만 톨루엔에 과다노출이 의심되는 소견입니다. 작업시 보호구착용을 철저히 하시고 2개월 내 추적검사 받으세요."</f>
        <v>2차검사상 정상이지만 톨루엔에 과다노출이 의심되는 소견입니다. 작업시 보호구착용을 철저히 하시고 2개월 내 추적검사 받으세요.</v>
      </c>
      <c r="E556" s="1" t="str">
        <f t="shared" si="187"/>
        <v>WOK02</v>
      </c>
      <c r="F556" s="1" t="str">
        <f>"PTM02"</f>
        <v>PTM02</v>
      </c>
      <c r="G556" s="1" t="str">
        <f>"DIS215"</f>
        <v>DIS215</v>
      </c>
      <c r="H556" s="1" t="str">
        <f t="shared" ref="H556:H561" si="189">"REL17"</f>
        <v>REL17</v>
      </c>
      <c r="I556" s="1" t="str">
        <f>"N0010"</f>
        <v>N0010</v>
      </c>
      <c r="J556" s="1" t="str">
        <f t="shared" si="186"/>
        <v>S01C</v>
      </c>
      <c r="K556" s="1" t="str">
        <f t="shared" si="186"/>
        <v>S01C</v>
      </c>
      <c r="L556" s="1" t="str">
        <f t="shared" si="173"/>
        <v>R</v>
      </c>
      <c r="M556" s="1" t="str">
        <f t="shared" si="188"/>
        <v>T12</v>
      </c>
      <c r="N556" s="1" t="str">
        <f t="shared" si="182"/>
        <v>Y</v>
      </c>
      <c r="O556" s="1" t="str">
        <f t="shared" si="185"/>
        <v>Y</v>
      </c>
      <c r="P556" s="1" t="str">
        <f t="shared" si="174"/>
        <v>Y</v>
      </c>
      <c r="Q556" s="1" t="str">
        <f t="shared" si="184"/>
        <v>A</v>
      </c>
    </row>
    <row r="557" spans="1:17" x14ac:dyDescent="0.3">
      <c r="A557" s="1" t="str">
        <f t="shared" si="175"/>
        <v>C1</v>
      </c>
      <c r="B557" s="1" t="str">
        <f>"J0195"</f>
        <v>J0195</v>
      </c>
      <c r="C557" s="1" t="str">
        <f>"크실렌 과폭로 주의"</f>
        <v>크실렌 과폭로 주의</v>
      </c>
      <c r="D557" s="1" t="str">
        <f>"2차검사상 정상이지만 크실렌에 과다노출이 의심되는 소견입니다. 작업시 보호구착용을 철저히 하시고 2개월 내 추적검사 받으세요."</f>
        <v>2차검사상 정상이지만 크실렌에 과다노출이 의심되는 소견입니다. 작업시 보호구착용을 철저히 하시고 2개월 내 추적검사 받으세요.</v>
      </c>
      <c r="E557" s="1" t="str">
        <f t="shared" si="187"/>
        <v>WOK02</v>
      </c>
      <c r="F557" s="1" t="str">
        <f>"PTM02"</f>
        <v>PTM02</v>
      </c>
      <c r="G557" s="1" t="str">
        <f>"DIS213"</f>
        <v>DIS213</v>
      </c>
      <c r="H557" s="1" t="str">
        <f t="shared" si="189"/>
        <v>REL17</v>
      </c>
      <c r="I557" s="1" t="str">
        <f>"N0083"</f>
        <v>N0083</v>
      </c>
      <c r="J557" s="1" t="str">
        <f t="shared" si="186"/>
        <v>S01C</v>
      </c>
      <c r="K557" s="1" t="str">
        <f t="shared" si="186"/>
        <v>S01C</v>
      </c>
      <c r="L557" s="1" t="str">
        <f t="shared" si="173"/>
        <v>R</v>
      </c>
      <c r="M557" s="1" t="str">
        <f t="shared" si="188"/>
        <v>T12</v>
      </c>
      <c r="N557" s="1" t="str">
        <f t="shared" si="182"/>
        <v>Y</v>
      </c>
      <c r="O557" s="1" t="str">
        <f t="shared" si="185"/>
        <v>Y</v>
      </c>
      <c r="P557" s="1" t="str">
        <f t="shared" si="174"/>
        <v>Y</v>
      </c>
      <c r="Q557" s="1" t="str">
        <f t="shared" si="184"/>
        <v>A</v>
      </c>
    </row>
    <row r="558" spans="1:17" x14ac:dyDescent="0.3">
      <c r="A558" s="1" t="str">
        <f t="shared" si="175"/>
        <v>C1</v>
      </c>
      <c r="B558" s="1" t="str">
        <f>"J0196"</f>
        <v>J0196</v>
      </c>
      <c r="C558" s="1" t="str">
        <f>"요중 삼염화물 초과 주의"</f>
        <v>요중 삼염화물 초과 주의</v>
      </c>
      <c r="D558" s="1" t="str">
        <f>"2차검사상 정상이지만 염소화화물에 과다노출이 의심되는 소견입니다. 작업시 보호구착용을 철저히 하시고 2개월 내 추적검사 받으세요."</f>
        <v>2차검사상 정상이지만 염소화화물에 과다노출이 의심되는 소견입니다. 작업시 보호구착용을 철저히 하시고 2개월 내 추적검사 받으세요.</v>
      </c>
      <c r="E558" s="1" t="str">
        <f t="shared" si="187"/>
        <v>WOK02</v>
      </c>
      <c r="F558" s="1" t="str">
        <f>"PTM02"</f>
        <v>PTM02</v>
      </c>
      <c r="G558" s="1" t="str">
        <f>"DIS299"</f>
        <v>DIS299</v>
      </c>
      <c r="H558" s="1" t="str">
        <f t="shared" si="189"/>
        <v>REL17</v>
      </c>
      <c r="I558" s="1" t="str">
        <f>""</f>
        <v/>
      </c>
      <c r="J558" s="1" t="str">
        <f t="shared" si="186"/>
        <v>S01C</v>
      </c>
      <c r="K558" s="1" t="str">
        <f t="shared" si="186"/>
        <v>S01C</v>
      </c>
      <c r="L558" s="1" t="str">
        <f t="shared" si="173"/>
        <v>R</v>
      </c>
      <c r="M558" s="1" t="str">
        <f t="shared" si="188"/>
        <v>T12</v>
      </c>
      <c r="N558" s="1" t="str">
        <f t="shared" si="182"/>
        <v>Y</v>
      </c>
      <c r="O558" s="1" t="str">
        <f t="shared" si="185"/>
        <v>Y</v>
      </c>
      <c r="P558" s="1" t="str">
        <f t="shared" si="174"/>
        <v>Y</v>
      </c>
      <c r="Q558" s="1" t="str">
        <f t="shared" si="184"/>
        <v>A</v>
      </c>
    </row>
    <row r="559" spans="1:17" x14ac:dyDescent="0.3">
      <c r="A559" s="1" t="str">
        <f t="shared" ref="A559:A590" si="190">"C1"</f>
        <v>C1</v>
      </c>
      <c r="B559" s="1" t="str">
        <f>"J0197"</f>
        <v>J0197</v>
      </c>
      <c r="C559" s="1" t="str">
        <f>"DMF 과폭로 주의"</f>
        <v>DMF 과폭로 주의</v>
      </c>
      <c r="D559" s="1" t="str">
        <f>"2차검사상 정상이지만 디메틸포름아미드(DMF)에 과다노출이 의심되는 소견입니다. 작업시 보호구착용을 철저히 하시고 2개월 내 추적검사 받으세요."</f>
        <v>2차검사상 정상이지만 디메틸포름아미드(DMF)에 과다노출이 의심되는 소견입니다. 작업시 보호구착용을 철저히 하시고 2개월 내 추적검사 받으세요.</v>
      </c>
      <c r="E559" s="1" t="str">
        <f t="shared" si="187"/>
        <v>WOK02</v>
      </c>
      <c r="F559" s="1" t="str">
        <f>"PTM032"</f>
        <v>PTM032</v>
      </c>
      <c r="G559" s="1" t="str">
        <f>"DIS202"</f>
        <v>DIS202</v>
      </c>
      <c r="H559" s="1" t="str">
        <f t="shared" si="189"/>
        <v>REL17</v>
      </c>
      <c r="I559" s="1" t="str">
        <f>"N0015"</f>
        <v>N0015</v>
      </c>
      <c r="J559" s="1" t="str">
        <f t="shared" si="186"/>
        <v>S01C</v>
      </c>
      <c r="K559" s="1" t="str">
        <f t="shared" si="186"/>
        <v>S01C</v>
      </c>
      <c r="L559" s="1" t="str">
        <f t="shared" si="173"/>
        <v>R</v>
      </c>
      <c r="M559" s="1" t="str">
        <f t="shared" si="188"/>
        <v>T12</v>
      </c>
      <c r="N559" s="1" t="str">
        <f t="shared" si="182"/>
        <v>Y</v>
      </c>
      <c r="O559" s="1" t="str">
        <f t="shared" si="185"/>
        <v>Y</v>
      </c>
      <c r="P559" s="1" t="str">
        <f t="shared" si="174"/>
        <v>Y</v>
      </c>
      <c r="Q559" s="1" t="str">
        <f t="shared" si="184"/>
        <v>A</v>
      </c>
    </row>
    <row r="560" spans="1:17" x14ac:dyDescent="0.3">
      <c r="A560" s="1" t="str">
        <f t="shared" si="190"/>
        <v>C1</v>
      </c>
      <c r="B560" s="1" t="str">
        <f>"J0198"</f>
        <v>J0198</v>
      </c>
      <c r="C560" s="1" t="s">
        <v>165</v>
      </c>
      <c r="D560" s="1" t="s">
        <v>167</v>
      </c>
      <c r="E560" s="1" t="str">
        <f t="shared" si="187"/>
        <v>WOK02</v>
      </c>
      <c r="F560" s="1" t="str">
        <f>"PTM032"</f>
        <v>PTM032</v>
      </c>
      <c r="G560" s="1" t="str">
        <f>"DIS299"</f>
        <v>DIS299</v>
      </c>
      <c r="H560" s="1" t="str">
        <f t="shared" si="189"/>
        <v>REL17</v>
      </c>
      <c r="I560" s="1" t="str">
        <f>"N0015"</f>
        <v>N0015</v>
      </c>
      <c r="J560" s="1" t="str">
        <f t="shared" si="186"/>
        <v>S01C</v>
      </c>
      <c r="K560" s="1" t="str">
        <f t="shared" si="186"/>
        <v>S01C</v>
      </c>
      <c r="L560" s="1" t="str">
        <f t="shared" si="173"/>
        <v>R</v>
      </c>
      <c r="M560" s="1" t="str">
        <f t="shared" si="188"/>
        <v>T12</v>
      </c>
      <c r="N560" s="1" t="str">
        <f t="shared" si="182"/>
        <v>Y</v>
      </c>
      <c r="O560" s="1" t="str">
        <f t="shared" si="185"/>
        <v>Y</v>
      </c>
      <c r="P560" s="1" t="str">
        <f t="shared" si="174"/>
        <v>Y</v>
      </c>
      <c r="Q560" s="1" t="str">
        <f t="shared" si="184"/>
        <v>A</v>
      </c>
    </row>
    <row r="561" spans="1:17" x14ac:dyDescent="0.3">
      <c r="A561" s="1" t="str">
        <f t="shared" si="190"/>
        <v>C1</v>
      </c>
      <c r="B561" s="1" t="str">
        <f>"J0199"</f>
        <v>J0199</v>
      </c>
      <c r="C561" s="1" t="str">
        <f>"노말헥산 과폭로 주의"</f>
        <v>노말헥산 과폭로 주의</v>
      </c>
      <c r="D561" s="1" t="str">
        <f>"2차검사상 정상이지만 노말헥산에 과다노출이 의심되는 소견입니다. 작업시 보호구착용을 철저히 하시고 2개월 내 추적검사 받으세요."</f>
        <v>2차검사상 정상이지만 노말헥산에 과다노출이 의심되는 소견입니다. 작업시 보호구착용을 철저히 하시고 2개월 내 추적검사 받으세요.</v>
      </c>
      <c r="E561" s="1" t="str">
        <f t="shared" si="187"/>
        <v>WOK02</v>
      </c>
      <c r="F561" s="1" t="str">
        <f>"PTM02"</f>
        <v>PTM02</v>
      </c>
      <c r="G561" s="1" t="str">
        <f>"DIS201"</f>
        <v>DIS201</v>
      </c>
      <c r="H561" s="1" t="str">
        <f t="shared" si="189"/>
        <v>REL17</v>
      </c>
      <c r="I561" s="1" t="str">
        <f>"N0106"</f>
        <v>N0106</v>
      </c>
      <c r="J561" s="1" t="str">
        <f t="shared" si="186"/>
        <v>S01C</v>
      </c>
      <c r="K561" s="1" t="str">
        <f t="shared" si="186"/>
        <v>S01C</v>
      </c>
      <c r="L561" s="1" t="str">
        <f t="shared" si="173"/>
        <v>R</v>
      </c>
      <c r="M561" s="1" t="str">
        <f t="shared" si="188"/>
        <v>T12</v>
      </c>
      <c r="N561" s="1" t="str">
        <f t="shared" si="182"/>
        <v>Y</v>
      </c>
      <c r="O561" s="1" t="str">
        <f t="shared" si="185"/>
        <v>Y</v>
      </c>
      <c r="P561" s="1" t="str">
        <f t="shared" si="174"/>
        <v>Y</v>
      </c>
      <c r="Q561" s="1" t="str">
        <f t="shared" si="184"/>
        <v>A</v>
      </c>
    </row>
    <row r="562" spans="1:17" x14ac:dyDescent="0.3">
      <c r="A562" s="1" t="str">
        <f t="shared" si="190"/>
        <v>C1</v>
      </c>
      <c r="B562" s="1" t="str">
        <f>"J0200"</f>
        <v>J0200</v>
      </c>
      <c r="C562" s="1" t="str">
        <f>"납 과폭로 주의"</f>
        <v>납 과폭로 주의</v>
      </c>
      <c r="D562" s="1" t="str">
        <f>"2차검사상 정상이지만 납에 과다노출이 의심되는 소견입니다. 작업시 보호구착용을 철저히 하시고 2개월 내 추적검사 받으세요."</f>
        <v>2차검사상 정상이지만 납에 과다노출이 의심되는 소견입니다. 작업시 보호구착용을 철저히 하시고 2개월 내 추적검사 받으세요.</v>
      </c>
      <c r="E562" s="1" t="str">
        <f t="shared" si="187"/>
        <v>WOK02</v>
      </c>
      <c r="F562" s="1" t="str">
        <f>"PTM02"</f>
        <v>PTM02</v>
      </c>
      <c r="G562" s="1" t="str">
        <f>"DIS306"</f>
        <v>DIS306</v>
      </c>
      <c r="H562" s="1" t="str">
        <f>"REL16"</f>
        <v>REL16</v>
      </c>
      <c r="I562" s="1" t="str">
        <f>"N0111"</f>
        <v>N0111</v>
      </c>
      <c r="J562" s="1" t="str">
        <f t="shared" si="186"/>
        <v>S01C</v>
      </c>
      <c r="K562" s="1" t="str">
        <f t="shared" si="186"/>
        <v>S01C</v>
      </c>
      <c r="L562" s="1" t="str">
        <f t="shared" si="173"/>
        <v>R</v>
      </c>
      <c r="M562" s="1" t="str">
        <f t="shared" si="188"/>
        <v>T12</v>
      </c>
      <c r="N562" s="1" t="str">
        <f t="shared" si="182"/>
        <v>Y</v>
      </c>
      <c r="O562" s="1" t="str">
        <f t="shared" si="185"/>
        <v>Y</v>
      </c>
      <c r="P562" s="1" t="str">
        <f t="shared" si="174"/>
        <v>Y</v>
      </c>
      <c r="Q562" s="1" t="str">
        <f t="shared" si="184"/>
        <v>A</v>
      </c>
    </row>
    <row r="563" spans="1:17" x14ac:dyDescent="0.3">
      <c r="A563" s="1" t="str">
        <f t="shared" si="190"/>
        <v>C1</v>
      </c>
      <c r="B563" s="1" t="str">
        <f>"J0201"</f>
        <v>J0201</v>
      </c>
      <c r="C563" s="1" t="str">
        <f>"스틸렌 과폭로 주의"</f>
        <v>스틸렌 과폭로 주의</v>
      </c>
      <c r="D563" s="1" t="str">
        <f>"2차검사상 정상이지만 스틸렌에 과다노출이 의심되는 소견입니다. 작업시 보호구착용을 철저히 하시고 2개월 내 추적검사 받으세요."</f>
        <v>2차검사상 정상이지만 스틸렌에 과다노출이 의심되는 소견입니다. 작업시 보호구착용을 철저히 하시고 2개월 내 추적검사 받으세요.</v>
      </c>
      <c r="E563" s="1" t="str">
        <f t="shared" si="187"/>
        <v>WOK02</v>
      </c>
      <c r="F563" s="1" t="str">
        <f>"PTM02"</f>
        <v>PTM02</v>
      </c>
      <c r="G563" s="1" t="str">
        <f>"DIS299"</f>
        <v>DIS299</v>
      </c>
      <c r="H563" s="1" t="str">
        <f>"REL17"</f>
        <v>REL17</v>
      </c>
      <c r="I563" s="1" t="str">
        <f>"N0050"</f>
        <v>N0050</v>
      </c>
      <c r="J563" s="1" t="str">
        <f t="shared" si="186"/>
        <v>S01C</v>
      </c>
      <c r="K563" s="1" t="str">
        <f t="shared" si="186"/>
        <v>S01C</v>
      </c>
      <c r="L563" s="1" t="str">
        <f t="shared" si="173"/>
        <v>R</v>
      </c>
      <c r="M563" s="1" t="str">
        <f t="shared" si="188"/>
        <v>T12</v>
      </c>
      <c r="N563" s="1" t="str">
        <f t="shared" si="182"/>
        <v>Y</v>
      </c>
      <c r="O563" s="1" t="str">
        <f t="shared" si="185"/>
        <v>Y</v>
      </c>
      <c r="P563" s="1" t="str">
        <f t="shared" si="174"/>
        <v>Y</v>
      </c>
      <c r="Q563" s="1" t="str">
        <f t="shared" si="184"/>
        <v>A</v>
      </c>
    </row>
    <row r="564" spans="1:17" x14ac:dyDescent="0.3">
      <c r="A564" s="1" t="str">
        <f t="shared" si="190"/>
        <v>C1</v>
      </c>
      <c r="B564" s="1" t="str">
        <f>"J0202"</f>
        <v>J0202</v>
      </c>
      <c r="C564" s="1" t="str">
        <f>"카드뮴 과폭로 주의"</f>
        <v>카드뮴 과폭로 주의</v>
      </c>
      <c r="D564" s="1" t="str">
        <f>"2차검사상 정상이지만 카드뮴에 과다노출이 의심되는 소견입니다. 작업시 보호구착용을 철저히 하시고 2개월 내 추적검사 받으세요."</f>
        <v>2차검사상 정상이지만 카드뮴에 과다노출이 의심되는 소견입니다. 작업시 보호구착용을 철저히 하시고 2개월 내 추적검사 받으세요.</v>
      </c>
      <c r="E564" s="1" t="str">
        <f t="shared" si="187"/>
        <v>WOK02</v>
      </c>
      <c r="F564" s="1" t="str">
        <f>"PTM02"</f>
        <v>PTM02</v>
      </c>
      <c r="G564" s="1" t="str">
        <f>"DIS308"</f>
        <v>DIS308</v>
      </c>
      <c r="H564" s="1" t="str">
        <f>"REL16"</f>
        <v>REL16</v>
      </c>
      <c r="I564" s="1" t="str">
        <f>"N0125"</f>
        <v>N0125</v>
      </c>
      <c r="J564" s="1" t="str">
        <f t="shared" si="186"/>
        <v>S01C</v>
      </c>
      <c r="K564" s="1" t="str">
        <f t="shared" si="186"/>
        <v>S01C</v>
      </c>
      <c r="L564" s="1" t="str">
        <f t="shared" si="173"/>
        <v>R</v>
      </c>
      <c r="M564" s="1" t="str">
        <f t="shared" si="188"/>
        <v>T12</v>
      </c>
      <c r="N564" s="1" t="str">
        <f t="shared" si="182"/>
        <v>Y</v>
      </c>
      <c r="O564" s="1" t="str">
        <f t="shared" si="185"/>
        <v>Y</v>
      </c>
      <c r="P564" s="1" t="str">
        <f t="shared" si="174"/>
        <v>Y</v>
      </c>
      <c r="Q564" s="1" t="str">
        <f t="shared" si="184"/>
        <v>A</v>
      </c>
    </row>
    <row r="565" spans="1:17" x14ac:dyDescent="0.3">
      <c r="A565" s="1" t="str">
        <f t="shared" si="190"/>
        <v>C1</v>
      </c>
      <c r="B565" s="1" t="str">
        <f>"J0226"</f>
        <v>J0226</v>
      </c>
      <c r="C565" s="1" t="str">
        <f>"폐활량 감소(직업성 의심)"</f>
        <v>폐활량 감소(직업성 의심)</v>
      </c>
      <c r="D565" s="1" t="str">
        <f>"폐기능 검사상 폐활량이 감소하였습니다. 방진마스크 착용 철저히 하시고 호흡기 증상 동반시 진료 받으시기 바랍니다."</f>
        <v>폐기능 검사상 폐활량이 감소하였습니다. 방진마스크 착용 철저히 하시고 호흡기 증상 동반시 진료 받으시기 바랍니다.</v>
      </c>
      <c r="E565" s="1" t="str">
        <f t="shared" si="187"/>
        <v>WOK02</v>
      </c>
      <c r="F565" s="1" t="str">
        <f>"PTM02"</f>
        <v>PTM02</v>
      </c>
      <c r="G565" s="1" t="str">
        <f>"DISJ"</f>
        <v>DISJ</v>
      </c>
      <c r="H565" s="1" t="str">
        <f>"REL15"</f>
        <v>REL15</v>
      </c>
      <c r="I565" s="1" t="str">
        <f>"N0166"</f>
        <v>N0166</v>
      </c>
      <c r="J565" s="1" t="str">
        <f t="shared" si="186"/>
        <v>S01C</v>
      </c>
      <c r="K565" s="1" t="str">
        <f t="shared" si="186"/>
        <v>S01C</v>
      </c>
      <c r="L565" s="1" t="str">
        <f t="shared" si="173"/>
        <v>R</v>
      </c>
      <c r="M565" s="1" t="str">
        <f>"T04"</f>
        <v>T04</v>
      </c>
      <c r="N565" s="1" t="str">
        <f t="shared" si="182"/>
        <v>Y</v>
      </c>
      <c r="O565" s="1" t="str">
        <f t="shared" si="185"/>
        <v>Y</v>
      </c>
      <c r="P565" s="1" t="str">
        <f t="shared" si="174"/>
        <v>Y</v>
      </c>
      <c r="Q565" s="1" t="str">
        <f t="shared" si="184"/>
        <v>A</v>
      </c>
    </row>
    <row r="566" spans="1:17" x14ac:dyDescent="0.3">
      <c r="A566" s="1" t="str">
        <f t="shared" si="190"/>
        <v>C1</v>
      </c>
      <c r="B566" s="1" t="str">
        <f>"J0232"</f>
        <v>J0232</v>
      </c>
      <c r="C566" s="1" t="str">
        <f>"비염 및 후각기능 저하 주의"</f>
        <v>비염 및 후각기능 저하 주의</v>
      </c>
      <c r="D566" s="1" t="s">
        <v>168</v>
      </c>
      <c r="E566" s="1" t="str">
        <f t="shared" si="187"/>
        <v>WOK02</v>
      </c>
      <c r="F566" s="1" t="str">
        <f>"PTM03"</f>
        <v>PTM03</v>
      </c>
      <c r="G566" s="1" t="str">
        <f>"DISJ"</f>
        <v>DISJ</v>
      </c>
      <c r="H566" s="1" t="str">
        <f>"REL31"</f>
        <v>REL31</v>
      </c>
      <c r="I566" s="1" t="str">
        <f>""</f>
        <v/>
      </c>
      <c r="J566" s="1" t="str">
        <f t="shared" si="186"/>
        <v>S01C</v>
      </c>
      <c r="K566" s="1" t="str">
        <f t="shared" si="186"/>
        <v>S01C</v>
      </c>
      <c r="L566" s="1" t="str">
        <f t="shared" si="173"/>
        <v>R</v>
      </c>
      <c r="M566" s="1" t="str">
        <f>"T10"</f>
        <v>T10</v>
      </c>
      <c r="N566" s="1" t="str">
        <f t="shared" si="182"/>
        <v>Y</v>
      </c>
      <c r="O566" s="1" t="str">
        <f t="shared" si="185"/>
        <v>Y</v>
      </c>
      <c r="P566" s="1" t="str">
        <f t="shared" si="174"/>
        <v>Y</v>
      </c>
      <c r="Q566" s="1" t="str">
        <f t="shared" si="184"/>
        <v>A</v>
      </c>
    </row>
    <row r="567" spans="1:17" x14ac:dyDescent="0.3">
      <c r="A567" s="1" t="str">
        <f t="shared" si="190"/>
        <v>C1</v>
      </c>
      <c r="B567" s="1" t="str">
        <f>"J0292"</f>
        <v>J0292</v>
      </c>
      <c r="C567" s="1" t="str">
        <f>"소기관지 폐쇄소견(폐기능검사)"</f>
        <v>소기관지 폐쇄소견(폐기능검사)</v>
      </c>
      <c r="D567" s="1" t="s">
        <v>169</v>
      </c>
      <c r="E567" s="1" t="str">
        <f t="shared" si="187"/>
        <v>WOK02</v>
      </c>
      <c r="F567" s="1" t="str">
        <f>"PTM03"</f>
        <v>PTM03</v>
      </c>
      <c r="G567" s="1" t="str">
        <f>"DISJ"</f>
        <v>DISJ</v>
      </c>
      <c r="H567" s="1" t="str">
        <f>"REL02"</f>
        <v>REL02</v>
      </c>
      <c r="I567" s="1" t="str">
        <f>"N0166"</f>
        <v>N0166</v>
      </c>
      <c r="J567" s="1" t="str">
        <f t="shared" si="186"/>
        <v>S01C</v>
      </c>
      <c r="K567" s="1" t="str">
        <f t="shared" si="186"/>
        <v>S01C</v>
      </c>
      <c r="L567" s="1" t="str">
        <f t="shared" si="173"/>
        <v>R</v>
      </c>
      <c r="M567" s="1" t="str">
        <f>"T04"</f>
        <v>T04</v>
      </c>
      <c r="N567" s="1" t="str">
        <f t="shared" si="182"/>
        <v>Y</v>
      </c>
      <c r="O567" s="1" t="str">
        <f t="shared" si="185"/>
        <v>Y</v>
      </c>
      <c r="P567" s="1" t="str">
        <f t="shared" si="174"/>
        <v>Y</v>
      </c>
      <c r="Q567" s="1" t="str">
        <f t="shared" si="184"/>
        <v>A</v>
      </c>
    </row>
    <row r="568" spans="1:17" x14ac:dyDescent="0.3">
      <c r="A568" s="1" t="str">
        <f t="shared" si="190"/>
        <v>C1</v>
      </c>
      <c r="B568" s="1" t="str">
        <f>"J02920"</f>
        <v>J02920</v>
      </c>
      <c r="C568" s="1" t="str">
        <f>"만성기관지염 주의"</f>
        <v>만성기관지염 주의</v>
      </c>
      <c r="D568" s="1" t="str">
        <f>"용접시 방진마스크 착용 철저. 금연 바랍니다."</f>
        <v>용접시 방진마스크 착용 철저. 금연 바랍니다.</v>
      </c>
      <c r="E568" s="1" t="str">
        <f t="shared" si="187"/>
        <v>WOK02</v>
      </c>
      <c r="F568" s="1" t="str">
        <f>"PTM03"</f>
        <v>PTM03</v>
      </c>
      <c r="G568" s="1" t="str">
        <f>"DISJ"</f>
        <v>DISJ</v>
      </c>
      <c r="H568" s="1" t="str">
        <f>"REL02"</f>
        <v>REL02</v>
      </c>
      <c r="I568" s="1" t="str">
        <f>""</f>
        <v/>
      </c>
      <c r="J568" s="1" t="str">
        <f t="shared" si="186"/>
        <v>S01C</v>
      </c>
      <c r="K568" s="1" t="str">
        <f t="shared" si="186"/>
        <v>S01C</v>
      </c>
      <c r="L568" s="1" t="str">
        <f t="shared" si="173"/>
        <v>R</v>
      </c>
      <c r="M568" s="1" t="str">
        <f>"T04"</f>
        <v>T04</v>
      </c>
      <c r="N568" s="1" t="str">
        <f t="shared" si="182"/>
        <v>Y</v>
      </c>
      <c r="O568" s="1" t="str">
        <f t="shared" si="185"/>
        <v>Y</v>
      </c>
      <c r="P568" s="1" t="str">
        <f t="shared" si="174"/>
        <v>Y</v>
      </c>
      <c r="Q568" s="1" t="str">
        <f t="shared" si="184"/>
        <v>A</v>
      </c>
    </row>
    <row r="569" spans="1:17" x14ac:dyDescent="0.3">
      <c r="A569" s="1" t="str">
        <f t="shared" si="190"/>
        <v>C1</v>
      </c>
      <c r="B569" s="1" t="str">
        <f>"J0302"</f>
        <v>J0302</v>
      </c>
      <c r="C569" s="1" t="str">
        <f>"벤젠 취급주의"</f>
        <v>벤젠 취급주의</v>
      </c>
      <c r="D569" s="1" t="s">
        <v>170</v>
      </c>
      <c r="E569" s="1" t="str">
        <f t="shared" si="187"/>
        <v>WOK02</v>
      </c>
      <c r="F569" s="1" t="str">
        <f>"PTM02"</f>
        <v>PTM02</v>
      </c>
      <c r="G569" s="1" t="str">
        <f>"DISD"</f>
        <v>DISD</v>
      </c>
      <c r="H569" s="1" t="str">
        <f>"REL12"</f>
        <v>REL12</v>
      </c>
      <c r="I569" s="1" t="str">
        <f>"N0038"</f>
        <v>N0038</v>
      </c>
      <c r="J569" s="1" t="str">
        <f t="shared" si="186"/>
        <v>S01C</v>
      </c>
      <c r="K569" s="1" t="str">
        <f t="shared" si="186"/>
        <v>S01C</v>
      </c>
      <c r="L569" s="1" t="str">
        <f t="shared" si="173"/>
        <v>R</v>
      </c>
      <c r="M569" s="1" t="str">
        <f>"T01"</f>
        <v>T01</v>
      </c>
      <c r="N569" s="1" t="str">
        <f t="shared" si="182"/>
        <v>Y</v>
      </c>
      <c r="O569" s="1" t="str">
        <f t="shared" si="185"/>
        <v>Y</v>
      </c>
      <c r="P569" s="1" t="str">
        <f t="shared" si="174"/>
        <v>Y</v>
      </c>
      <c r="Q569" s="1" t="str">
        <f t="shared" si="184"/>
        <v>A</v>
      </c>
    </row>
    <row r="570" spans="1:17" x14ac:dyDescent="0.3">
      <c r="A570" s="1" t="str">
        <f t="shared" si="190"/>
        <v>C1</v>
      </c>
      <c r="B570" s="1" t="str">
        <f>"J0303"</f>
        <v>J0303</v>
      </c>
      <c r="C570" s="1" t="str">
        <f>"벤젠 취급주의"</f>
        <v>벤젠 취급주의</v>
      </c>
      <c r="D570" s="1" t="str">
        <f>"경미한 호중구감소가 관찰되므로 추적관찰이 필요 합니다."</f>
        <v>경미한 호중구감소가 관찰되므로 추적관찰이 필요 합니다.</v>
      </c>
      <c r="E570" s="1" t="str">
        <f t="shared" si="187"/>
        <v>WOK02</v>
      </c>
      <c r="F570" s="1" t="str">
        <f>"PTM02"</f>
        <v>PTM02</v>
      </c>
      <c r="G570" s="1" t="str">
        <f>"DISD"</f>
        <v>DISD</v>
      </c>
      <c r="H570" s="1" t="str">
        <f>"REL12"</f>
        <v>REL12</v>
      </c>
      <c r="I570" s="1" t="str">
        <f>"N0038"</f>
        <v>N0038</v>
      </c>
      <c r="J570" s="1" t="str">
        <f t="shared" si="186"/>
        <v>S01C</v>
      </c>
      <c r="K570" s="1" t="str">
        <f t="shared" si="186"/>
        <v>S01C</v>
      </c>
      <c r="L570" s="1" t="str">
        <f t="shared" si="173"/>
        <v>R</v>
      </c>
      <c r="M570" s="1" t="str">
        <f>"T01"</f>
        <v>T01</v>
      </c>
      <c r="N570" s="1" t="str">
        <f t="shared" si="182"/>
        <v>Y</v>
      </c>
      <c r="O570" s="1" t="str">
        <f t="shared" si="185"/>
        <v>Y</v>
      </c>
      <c r="P570" s="1" t="str">
        <f t="shared" si="174"/>
        <v>Y</v>
      </c>
      <c r="Q570" s="1" t="str">
        <f t="shared" si="184"/>
        <v>A</v>
      </c>
    </row>
    <row r="571" spans="1:17" x14ac:dyDescent="0.3">
      <c r="A571" s="1" t="str">
        <f t="shared" si="190"/>
        <v>C1</v>
      </c>
      <c r="B571" s="1" t="str">
        <f>"J0305"</f>
        <v>J0305</v>
      </c>
      <c r="C571" s="1" t="str">
        <f>"유기화합물 취급쥐의"</f>
        <v>유기화합물 취급쥐의</v>
      </c>
      <c r="D571" s="1" t="str">
        <f>"최대호기유량측정(PEFR)검사상 작업장 내에서 호흡기 기능 저하 소견을 보입니다."</f>
        <v>최대호기유량측정(PEFR)검사상 작업장 내에서 호흡기 기능 저하 소견을 보입니다.</v>
      </c>
      <c r="E571" s="1" t="str">
        <f t="shared" si="187"/>
        <v>WOK02</v>
      </c>
      <c r="F571" s="1" t="str">
        <f>"PTM02"</f>
        <v>PTM02</v>
      </c>
      <c r="G571" s="1" t="str">
        <f t="shared" ref="G571:G579" si="191">"DISJ"</f>
        <v>DISJ</v>
      </c>
      <c r="H571" s="1" t="str">
        <f t="shared" ref="H571:H577" si="192">"REL02"</f>
        <v>REL02</v>
      </c>
      <c r="I571" s="1" t="str">
        <f>""</f>
        <v/>
      </c>
      <c r="J571" s="1" t="str">
        <f t="shared" si="186"/>
        <v>S01C</v>
      </c>
      <c r="K571" s="1" t="str">
        <f t="shared" si="186"/>
        <v>S01C</v>
      </c>
      <c r="L571" s="1" t="str">
        <f t="shared" si="173"/>
        <v>R</v>
      </c>
      <c r="M571" s="1" t="str">
        <f t="shared" ref="M571:M578" si="193">"T04"</f>
        <v>T04</v>
      </c>
      <c r="N571" s="1" t="str">
        <f t="shared" si="182"/>
        <v>Y</v>
      </c>
      <c r="O571" s="1" t="str">
        <f t="shared" si="185"/>
        <v>Y</v>
      </c>
      <c r="P571" s="1" t="str">
        <f t="shared" si="174"/>
        <v>Y</v>
      </c>
      <c r="Q571" s="1" t="str">
        <f t="shared" si="184"/>
        <v>A</v>
      </c>
    </row>
    <row r="572" spans="1:17" x14ac:dyDescent="0.3">
      <c r="A572" s="1" t="str">
        <f t="shared" si="190"/>
        <v>C1</v>
      </c>
      <c r="B572" s="1" t="str">
        <f>"J0306"</f>
        <v>J0306</v>
      </c>
      <c r="C572" s="1" t="str">
        <f>"업무관련성 천식주의"</f>
        <v>업무관련성 천식주의</v>
      </c>
      <c r="D572" s="1" t="str">
        <f>"천식증상이 있으므로 원인물질 노출을 피하시고 보호구착용을 철저히 하세요."</f>
        <v>천식증상이 있으므로 원인물질 노출을 피하시고 보호구착용을 철저히 하세요.</v>
      </c>
      <c r="E572" s="1" t="str">
        <f t="shared" si="187"/>
        <v>WOK02</v>
      </c>
      <c r="F572" s="1" t="str">
        <f>"PTM03"</f>
        <v>PTM03</v>
      </c>
      <c r="G572" s="1" t="str">
        <f t="shared" si="191"/>
        <v>DISJ</v>
      </c>
      <c r="H572" s="1" t="str">
        <f t="shared" si="192"/>
        <v>REL02</v>
      </c>
      <c r="I572" s="1" t="str">
        <f>""</f>
        <v/>
      </c>
      <c r="J572" s="1" t="str">
        <f t="shared" si="186"/>
        <v>S01C</v>
      </c>
      <c r="K572" s="1" t="str">
        <f t="shared" si="186"/>
        <v>S01C</v>
      </c>
      <c r="L572" s="1" t="str">
        <f t="shared" si="173"/>
        <v>R</v>
      </c>
      <c r="M572" s="1" t="str">
        <f t="shared" si="193"/>
        <v>T04</v>
      </c>
      <c r="N572" s="1" t="str">
        <f t="shared" si="182"/>
        <v>Y</v>
      </c>
      <c r="O572" s="1" t="str">
        <f t="shared" si="185"/>
        <v>Y</v>
      </c>
      <c r="P572" s="1" t="str">
        <f t="shared" si="174"/>
        <v>Y</v>
      </c>
      <c r="Q572" s="1" t="str">
        <f t="shared" si="184"/>
        <v>A</v>
      </c>
    </row>
    <row r="573" spans="1:17" x14ac:dyDescent="0.3">
      <c r="A573" s="1" t="str">
        <f t="shared" si="190"/>
        <v>C1</v>
      </c>
      <c r="B573" s="1" t="str">
        <f>"J03121"</f>
        <v>J03121</v>
      </c>
      <c r="C573" s="1" t="str">
        <f>"흉부 질환 주의"</f>
        <v>흉부 질환 주의</v>
      </c>
      <c r="D573" s="1" t="s">
        <v>125</v>
      </c>
      <c r="E573" s="1" t="str">
        <f t="shared" si="187"/>
        <v>WOK02</v>
      </c>
      <c r="F573" s="1" t="str">
        <f>"PTM01"</f>
        <v>PTM01</v>
      </c>
      <c r="G573" s="1" t="str">
        <f t="shared" si="191"/>
        <v>DISJ</v>
      </c>
      <c r="H573" s="1" t="str">
        <f t="shared" si="192"/>
        <v>REL02</v>
      </c>
      <c r="I573" s="1" t="str">
        <f>""</f>
        <v/>
      </c>
      <c r="J573" s="1" t="str">
        <f t="shared" si="186"/>
        <v>S01C</v>
      </c>
      <c r="K573" s="1" t="str">
        <f t="shared" si="186"/>
        <v>S01C</v>
      </c>
      <c r="L573" s="1" t="str">
        <f t="shared" si="173"/>
        <v>R</v>
      </c>
      <c r="M573" s="1" t="str">
        <f t="shared" si="193"/>
        <v>T04</v>
      </c>
      <c r="N573" s="1" t="str">
        <f t="shared" si="182"/>
        <v>Y</v>
      </c>
      <c r="O573" s="1" t="str">
        <f t="shared" si="185"/>
        <v>Y</v>
      </c>
      <c r="P573" s="1" t="str">
        <f t="shared" si="174"/>
        <v>Y</v>
      </c>
      <c r="Q573" s="1" t="str">
        <f t="shared" si="184"/>
        <v>A</v>
      </c>
    </row>
    <row r="574" spans="1:17" x14ac:dyDescent="0.3">
      <c r="A574" s="1" t="str">
        <f t="shared" si="190"/>
        <v>C1</v>
      </c>
      <c r="B574" s="1" t="str">
        <f>"J0316"</f>
        <v>J0316</v>
      </c>
      <c r="C574" s="1" t="str">
        <f>"폐쇄성폐질환주의"</f>
        <v>폐쇄성폐질환주의</v>
      </c>
      <c r="D574" s="1" t="str">
        <f>"폐기능 검사상 폐활량이 감소하였습니다. 보호구착용 철저히 하시고 호흡기 증상 동반시 진료 받으시기 바랍니다."</f>
        <v>폐기능 검사상 폐활량이 감소하였습니다. 보호구착용 철저히 하시고 호흡기 증상 동반시 진료 받으시기 바랍니다.</v>
      </c>
      <c r="E574" s="1" t="str">
        <f t="shared" si="187"/>
        <v>WOK02</v>
      </c>
      <c r="F574" s="1" t="str">
        <f>"PTM02"</f>
        <v>PTM02</v>
      </c>
      <c r="G574" s="1" t="str">
        <f t="shared" si="191"/>
        <v>DISJ</v>
      </c>
      <c r="H574" s="1" t="str">
        <f t="shared" si="192"/>
        <v>REL02</v>
      </c>
      <c r="I574" s="1" t="str">
        <f>""</f>
        <v/>
      </c>
      <c r="J574" s="1" t="str">
        <f t="shared" si="186"/>
        <v>S01C</v>
      </c>
      <c r="K574" s="1" t="str">
        <f t="shared" si="186"/>
        <v>S01C</v>
      </c>
      <c r="L574" s="1" t="str">
        <f t="shared" si="173"/>
        <v>R</v>
      </c>
      <c r="M574" s="1" t="str">
        <f t="shared" si="193"/>
        <v>T04</v>
      </c>
      <c r="N574" s="1" t="str">
        <f t="shared" si="182"/>
        <v>Y</v>
      </c>
      <c r="O574" s="1" t="str">
        <f t="shared" si="185"/>
        <v>Y</v>
      </c>
      <c r="P574" s="1" t="str">
        <f t="shared" si="174"/>
        <v>Y</v>
      </c>
      <c r="Q574" s="1" t="str">
        <f t="shared" si="184"/>
        <v>A</v>
      </c>
    </row>
    <row r="575" spans="1:17" x14ac:dyDescent="0.3">
      <c r="A575" s="1" t="str">
        <f t="shared" si="190"/>
        <v>C1</v>
      </c>
      <c r="B575" s="1" t="str">
        <f>"J0321"</f>
        <v>J0321</v>
      </c>
      <c r="C575" s="1" t="str">
        <f>"혼합성 폐기능 저하"</f>
        <v>혼합성 폐기능 저하</v>
      </c>
      <c r="D575" s="1" t="s">
        <v>171</v>
      </c>
      <c r="E575" s="1" t="str">
        <f t="shared" si="187"/>
        <v>WOK02</v>
      </c>
      <c r="F575" s="1" t="str">
        <f>"PTM02"</f>
        <v>PTM02</v>
      </c>
      <c r="G575" s="1" t="str">
        <f t="shared" si="191"/>
        <v>DISJ</v>
      </c>
      <c r="H575" s="1" t="str">
        <f t="shared" si="192"/>
        <v>REL02</v>
      </c>
      <c r="I575" s="1" t="str">
        <f>""</f>
        <v/>
      </c>
      <c r="J575" s="1" t="str">
        <f t="shared" si="186"/>
        <v>S01C</v>
      </c>
      <c r="K575" s="1" t="str">
        <f t="shared" si="186"/>
        <v>S01C</v>
      </c>
      <c r="L575" s="1" t="str">
        <f t="shared" si="173"/>
        <v>R</v>
      </c>
      <c r="M575" s="1" t="str">
        <f t="shared" si="193"/>
        <v>T04</v>
      </c>
      <c r="N575" s="1" t="str">
        <f t="shared" si="182"/>
        <v>Y</v>
      </c>
      <c r="O575" s="1" t="str">
        <f t="shared" si="185"/>
        <v>Y</v>
      </c>
      <c r="P575" s="1" t="str">
        <f t="shared" si="174"/>
        <v>Y</v>
      </c>
      <c r="Q575" s="1" t="str">
        <f t="shared" si="184"/>
        <v>A</v>
      </c>
    </row>
    <row r="576" spans="1:17" x14ac:dyDescent="0.3">
      <c r="A576" s="1" t="str">
        <f t="shared" si="190"/>
        <v>C1</v>
      </c>
      <c r="B576" s="1" t="str">
        <f>"J0322"</f>
        <v>J0322</v>
      </c>
      <c r="C576" s="1" t="str">
        <f>"제한성 폐기능저하"</f>
        <v>제한성 폐기능저하</v>
      </c>
      <c r="D576" s="1" t="s">
        <v>172</v>
      </c>
      <c r="E576" s="1" t="str">
        <f t="shared" si="187"/>
        <v>WOK02</v>
      </c>
      <c r="F576" s="1" t="str">
        <f>"PTM02"</f>
        <v>PTM02</v>
      </c>
      <c r="G576" s="1" t="str">
        <f t="shared" si="191"/>
        <v>DISJ</v>
      </c>
      <c r="H576" s="1" t="str">
        <f t="shared" si="192"/>
        <v>REL02</v>
      </c>
      <c r="I576" s="1" t="str">
        <f>""</f>
        <v/>
      </c>
      <c r="J576" s="1" t="str">
        <f t="shared" si="186"/>
        <v>S01C</v>
      </c>
      <c r="K576" s="1" t="str">
        <f t="shared" si="186"/>
        <v>S01C</v>
      </c>
      <c r="L576" s="1" t="str">
        <f t="shared" si="173"/>
        <v>R</v>
      </c>
      <c r="M576" s="1" t="str">
        <f t="shared" si="193"/>
        <v>T04</v>
      </c>
      <c r="N576" s="1" t="str">
        <f t="shared" si="182"/>
        <v>Y</v>
      </c>
      <c r="O576" s="1" t="str">
        <f t="shared" si="185"/>
        <v>Y</v>
      </c>
      <c r="P576" s="1" t="str">
        <f t="shared" si="174"/>
        <v>Y</v>
      </c>
      <c r="Q576" s="1" t="str">
        <f t="shared" si="184"/>
        <v>A</v>
      </c>
    </row>
    <row r="577" spans="1:17" x14ac:dyDescent="0.3">
      <c r="A577" s="1" t="str">
        <f t="shared" si="190"/>
        <v>C1</v>
      </c>
      <c r="B577" s="1" t="str">
        <f>"J0322O"</f>
        <v>J0322O</v>
      </c>
      <c r="C577" s="1" t="str">
        <f>"폐쇄성 폐기능 저하"</f>
        <v>폐쇄성 폐기능 저하</v>
      </c>
      <c r="D577" s="1" t="s">
        <v>172</v>
      </c>
      <c r="E577" s="1" t="str">
        <f t="shared" si="187"/>
        <v>WOK02</v>
      </c>
      <c r="F577" s="1" t="str">
        <f>"PTM02"</f>
        <v>PTM02</v>
      </c>
      <c r="G577" s="1" t="str">
        <f t="shared" si="191"/>
        <v>DISJ</v>
      </c>
      <c r="H577" s="1" t="str">
        <f t="shared" si="192"/>
        <v>REL02</v>
      </c>
      <c r="I577" s="1" t="str">
        <f>""</f>
        <v/>
      </c>
      <c r="J577" s="1" t="str">
        <f t="shared" si="186"/>
        <v>S01C</v>
      </c>
      <c r="K577" s="1" t="str">
        <f t="shared" si="186"/>
        <v>S01C</v>
      </c>
      <c r="L577" s="1" t="str">
        <f t="shared" si="173"/>
        <v>R</v>
      </c>
      <c r="M577" s="1" t="str">
        <f t="shared" si="193"/>
        <v>T04</v>
      </c>
      <c r="N577" s="1" t="str">
        <f t="shared" si="182"/>
        <v>Y</v>
      </c>
      <c r="O577" s="1" t="str">
        <f t="shared" si="185"/>
        <v>Y</v>
      </c>
      <c r="P577" s="1" t="str">
        <f t="shared" si="174"/>
        <v>Y</v>
      </c>
      <c r="Q577" s="1" t="str">
        <f t="shared" si="184"/>
        <v>A</v>
      </c>
    </row>
    <row r="578" spans="1:17" x14ac:dyDescent="0.3">
      <c r="A578" s="1" t="str">
        <f t="shared" si="190"/>
        <v>C1</v>
      </c>
      <c r="B578" s="1" t="str">
        <f>"J0330"</f>
        <v>J0330</v>
      </c>
      <c r="C578" s="1" t="str">
        <f>"폐기능 저하"</f>
        <v>폐기능 저하</v>
      </c>
      <c r="D578" s="1" t="s">
        <v>173</v>
      </c>
      <c r="E578" s="1" t="str">
        <f t="shared" si="187"/>
        <v>WOK02</v>
      </c>
      <c r="F578" s="1" t="str">
        <f>"PTM02"</f>
        <v>PTM02</v>
      </c>
      <c r="G578" s="1" t="str">
        <f t="shared" si="191"/>
        <v>DISJ</v>
      </c>
      <c r="H578" s="1" t="str">
        <f>"REL15"</f>
        <v>REL15</v>
      </c>
      <c r="I578" s="1" t="str">
        <f>""</f>
        <v/>
      </c>
      <c r="J578" s="1" t="str">
        <f t="shared" si="186"/>
        <v>S01C</v>
      </c>
      <c r="K578" s="1" t="str">
        <f t="shared" si="186"/>
        <v>S01C</v>
      </c>
      <c r="L578" s="1" t="str">
        <f t="shared" si="173"/>
        <v>R</v>
      </c>
      <c r="M578" s="1" t="str">
        <f t="shared" si="193"/>
        <v>T04</v>
      </c>
      <c r="N578" s="1" t="str">
        <f t="shared" si="182"/>
        <v>Y</v>
      </c>
      <c r="O578" s="1" t="str">
        <f t="shared" si="185"/>
        <v>Y</v>
      </c>
      <c r="P578" s="1" t="str">
        <f t="shared" si="174"/>
        <v>Y</v>
      </c>
      <c r="Q578" s="1" t="str">
        <f t="shared" si="184"/>
        <v>A</v>
      </c>
    </row>
    <row r="579" spans="1:17" x14ac:dyDescent="0.3">
      <c r="A579" s="1" t="str">
        <f t="shared" si="190"/>
        <v>C1</v>
      </c>
      <c r="B579" s="1" t="str">
        <f>"J0332"</f>
        <v>J0332</v>
      </c>
      <c r="C579" s="1" t="str">
        <f>"직업성 비염주의"</f>
        <v>직업성 비염주의</v>
      </c>
      <c r="D579" s="1" t="str">
        <f>"개인 보호구 착용을 철저히 하시고 비염증상이 악화시 이비인후과 진료를 보시길 바랍니다."</f>
        <v>개인 보호구 착용을 철저히 하시고 비염증상이 악화시 이비인후과 진료를 보시길 바랍니다.</v>
      </c>
      <c r="E579" s="1" t="str">
        <f t="shared" si="187"/>
        <v>WOK02</v>
      </c>
      <c r="F579" s="1" t="str">
        <f>"PTM03"</f>
        <v>PTM03</v>
      </c>
      <c r="G579" s="1" t="str">
        <f t="shared" si="191"/>
        <v>DISJ</v>
      </c>
      <c r="H579" s="1" t="str">
        <f>"REL31"</f>
        <v>REL31</v>
      </c>
      <c r="I579" s="1" t="str">
        <f>""</f>
        <v/>
      </c>
      <c r="J579" s="1" t="str">
        <f t="shared" si="186"/>
        <v>S01C</v>
      </c>
      <c r="K579" s="1" t="str">
        <f t="shared" si="186"/>
        <v>S01C</v>
      </c>
      <c r="L579" s="1" t="str">
        <f t="shared" si="173"/>
        <v>R</v>
      </c>
      <c r="M579" s="1" t="str">
        <f>"T10"</f>
        <v>T10</v>
      </c>
      <c r="N579" s="1" t="str">
        <f t="shared" si="182"/>
        <v>Y</v>
      </c>
      <c r="O579" s="1" t="str">
        <f t="shared" si="185"/>
        <v>Y</v>
      </c>
      <c r="P579" s="1" t="str">
        <f t="shared" si="174"/>
        <v>Y</v>
      </c>
      <c r="Q579" s="1" t="str">
        <f t="shared" si="184"/>
        <v>A</v>
      </c>
    </row>
    <row r="580" spans="1:17" x14ac:dyDescent="0.3">
      <c r="A580" s="1" t="str">
        <f t="shared" si="190"/>
        <v>C1</v>
      </c>
      <c r="B580" s="1" t="str">
        <f>"J0335"</f>
        <v>J0335</v>
      </c>
      <c r="C580" s="1" t="str">
        <f>"유기용제 취급주의"</f>
        <v>유기용제 취급주의</v>
      </c>
      <c r="D580" s="1" t="str">
        <f>"신경행동검사상 단기기억력저하 소견보입니다. 보호구착용 철저히 하시고 1년후 추적검사 하시기 바랍니다."</f>
        <v>신경행동검사상 단기기억력저하 소견보입니다. 보호구착용 철저히 하시고 1년후 추적검사 하시기 바랍니다.</v>
      </c>
      <c r="E580" s="1" t="str">
        <f t="shared" si="187"/>
        <v>WOK02</v>
      </c>
      <c r="F580" s="1" t="str">
        <f>"PTM02"</f>
        <v>PTM02</v>
      </c>
      <c r="G580" s="1" t="str">
        <f>"DISG"</f>
        <v>DISG</v>
      </c>
      <c r="H580" s="1" t="str">
        <f>"REL21"</f>
        <v>REL21</v>
      </c>
      <c r="I580" s="1" t="str">
        <f>""</f>
        <v/>
      </c>
      <c r="J580" s="1" t="str">
        <f t="shared" si="186"/>
        <v>S01C</v>
      </c>
      <c r="K580" s="1" t="str">
        <f t="shared" si="186"/>
        <v>S01C</v>
      </c>
      <c r="L580" s="1" t="str">
        <f t="shared" si="173"/>
        <v>R</v>
      </c>
      <c r="M580" s="1" t="str">
        <f>"T06"</f>
        <v>T06</v>
      </c>
      <c r="N580" s="1" t="str">
        <f t="shared" si="182"/>
        <v>Y</v>
      </c>
      <c r="O580" s="1" t="str">
        <f t="shared" si="185"/>
        <v>Y</v>
      </c>
      <c r="P580" s="1" t="str">
        <f t="shared" si="174"/>
        <v>Y</v>
      </c>
      <c r="Q580" s="1" t="str">
        <f t="shared" si="184"/>
        <v>A</v>
      </c>
    </row>
    <row r="581" spans="1:17" x14ac:dyDescent="0.3">
      <c r="A581" s="1" t="str">
        <f t="shared" si="190"/>
        <v>C1</v>
      </c>
      <c r="B581" s="1" t="str">
        <f>"J0498"</f>
        <v>J0498</v>
      </c>
      <c r="C581" s="1" t="str">
        <f>"호산구 증가증"</f>
        <v>호산구 증가증</v>
      </c>
      <c r="D581" s="1" t="s">
        <v>174</v>
      </c>
      <c r="E581" s="1" t="str">
        <f t="shared" si="187"/>
        <v>WOK02</v>
      </c>
      <c r="F581" s="1" t="str">
        <f>"PTM02"</f>
        <v>PTM02</v>
      </c>
      <c r="G581" s="1" t="str">
        <f>"DISD"</f>
        <v>DISD</v>
      </c>
      <c r="H581" s="1" t="str">
        <f>"REL12"</f>
        <v>REL12</v>
      </c>
      <c r="I581" s="1" t="str">
        <f>""</f>
        <v/>
      </c>
      <c r="J581" s="1" t="str">
        <f>"C34C"</f>
        <v>C34C</v>
      </c>
      <c r="K581" s="1" t="str">
        <f>"C34C"</f>
        <v>C34C</v>
      </c>
      <c r="L581" s="1" t="str">
        <f t="shared" si="173"/>
        <v>R</v>
      </c>
      <c r="M581" s="1" t="str">
        <f>"T01"</f>
        <v>T01</v>
      </c>
      <c r="N581" s="1" t="str">
        <f t="shared" si="182"/>
        <v>Y</v>
      </c>
      <c r="O581" s="1" t="str">
        <f t="shared" si="185"/>
        <v>Y</v>
      </c>
      <c r="P581" s="1" t="str">
        <f t="shared" si="174"/>
        <v>Y</v>
      </c>
      <c r="Q581" s="1" t="str">
        <f t="shared" si="184"/>
        <v>A</v>
      </c>
    </row>
    <row r="582" spans="1:17" x14ac:dyDescent="0.3">
      <c r="A582" s="1" t="str">
        <f t="shared" si="190"/>
        <v>C1</v>
      </c>
      <c r="B582" s="1" t="str">
        <f>"LEK5018"</f>
        <v>LEK5018</v>
      </c>
      <c r="C582" s="1" t="str">
        <f>"조혈기계 질환주의(망상적혈구 증가)"</f>
        <v>조혈기계 질환주의(망상적혈구 증가)</v>
      </c>
      <c r="D582" s="1" t="str">
        <f>"망상적혈구와 백혈구가 경미하게 증가했습니다. 이차검사에서 말초혈액검사에 이상은 없습니다. 화학물질노출에 노출되지 않도록 보호구를 철저히 착용하십시요."</f>
        <v>망상적혈구와 백혈구가 경미하게 증가했습니다. 이차검사에서 말초혈액검사에 이상은 없습니다. 화학물질노출에 노출되지 않도록 보호구를 철저히 착용하십시요.</v>
      </c>
      <c r="E582" s="1" t="str">
        <f t="shared" si="187"/>
        <v>WOK02</v>
      </c>
      <c r="F582" s="1" t="str">
        <f>"PTM01"</f>
        <v>PTM01</v>
      </c>
      <c r="G582" s="1" t="str">
        <f>"DISD"</f>
        <v>DISD</v>
      </c>
      <c r="H582" s="1" t="str">
        <f>"REL12"</f>
        <v>REL12</v>
      </c>
      <c r="I582" s="1" t="str">
        <f>""</f>
        <v/>
      </c>
      <c r="J582" s="1" t="str">
        <f t="shared" ref="J582:K585" si="194">"S01C"</f>
        <v>S01C</v>
      </c>
      <c r="K582" s="1" t="str">
        <f t="shared" si="194"/>
        <v>S01C</v>
      </c>
      <c r="L582" s="1" t="str">
        <f t="shared" si="173"/>
        <v>R</v>
      </c>
      <c r="M582" s="1" t="str">
        <f>"T01"</f>
        <v>T01</v>
      </c>
      <c r="N582" s="1" t="str">
        <f t="shared" si="182"/>
        <v>Y</v>
      </c>
      <c r="O582" s="1" t="str">
        <f t="shared" si="185"/>
        <v>Y</v>
      </c>
      <c r="P582" s="1" t="str">
        <f t="shared" si="174"/>
        <v>Y</v>
      </c>
      <c r="Q582" s="1" t="str">
        <f t="shared" si="184"/>
        <v>A</v>
      </c>
    </row>
    <row r="583" spans="1:17" x14ac:dyDescent="0.3">
      <c r="A583" s="1" t="str">
        <f t="shared" si="190"/>
        <v>C1</v>
      </c>
      <c r="B583" s="1" t="str">
        <f>"MIS301"</f>
        <v>MIS301</v>
      </c>
      <c r="C583" s="1" t="str">
        <f>"비중격궤양"</f>
        <v>비중격궤양</v>
      </c>
      <c r="D583" s="1" t="str">
        <f>"작업시 방진마스크를 철저히 착용 하시고 정기적추적관찰을 요합니다."</f>
        <v>작업시 방진마스크를 철저히 착용 하시고 정기적추적관찰을 요합니다.</v>
      </c>
      <c r="E583" s="1" t="str">
        <f t="shared" si="187"/>
        <v>WOK02</v>
      </c>
      <c r="F583" s="1" t="str">
        <f>"PTM06"</f>
        <v>PTM06</v>
      </c>
      <c r="G583" s="1" t="str">
        <f>"DISH"</f>
        <v>DISH</v>
      </c>
      <c r="H583" s="1" t="str">
        <f>"REL31"</f>
        <v>REL31</v>
      </c>
      <c r="I583" s="1" t="str">
        <f>""</f>
        <v/>
      </c>
      <c r="J583" s="1" t="str">
        <f t="shared" si="194"/>
        <v>S01C</v>
      </c>
      <c r="K583" s="1" t="str">
        <f t="shared" si="194"/>
        <v>S01C</v>
      </c>
      <c r="L583" s="1" t="str">
        <f t="shared" si="173"/>
        <v>R</v>
      </c>
      <c r="M583" s="1" t="str">
        <f t="shared" ref="M583:M596" si="195">"T10"</f>
        <v>T10</v>
      </c>
      <c r="N583" s="1" t="str">
        <f t="shared" si="182"/>
        <v>Y</v>
      </c>
      <c r="O583" s="1" t="str">
        <f>"N"</f>
        <v>N</v>
      </c>
      <c r="P583" s="1" t="str">
        <f t="shared" si="174"/>
        <v>Y</v>
      </c>
      <c r="Q583" s="1" t="str">
        <f t="shared" si="184"/>
        <v>A</v>
      </c>
    </row>
    <row r="584" spans="1:17" x14ac:dyDescent="0.3">
      <c r="A584" s="1" t="str">
        <f t="shared" si="190"/>
        <v>C1</v>
      </c>
      <c r="B584" s="1" t="str">
        <f>"NHL301"</f>
        <v>NHL301</v>
      </c>
      <c r="C584" s="1" t="str">
        <f>"(좌측)소음성난청 주의"</f>
        <v>(좌측)소음성난청 주의</v>
      </c>
      <c r="D584" s="1" t="s">
        <v>175</v>
      </c>
      <c r="E584" s="1" t="str">
        <f t="shared" ref="E584:E619" si="196">"WOK02"</f>
        <v>WOK02</v>
      </c>
      <c r="F584" s="1" t="str">
        <f>"PTM0312"</f>
        <v>PTM0312</v>
      </c>
      <c r="G584" s="1" t="str">
        <f>"DIS110"</f>
        <v>DIS110</v>
      </c>
      <c r="H584" s="1" t="str">
        <f>"REL19"</f>
        <v>REL19</v>
      </c>
      <c r="I584" s="1" t="str">
        <f t="shared" ref="I584:I596" si="197">"01"</f>
        <v>01</v>
      </c>
      <c r="J584" s="1" t="str">
        <f t="shared" si="194"/>
        <v>S01C</v>
      </c>
      <c r="K584" s="1" t="str">
        <f t="shared" si="194"/>
        <v>S01C</v>
      </c>
      <c r="L584" s="1" t="str">
        <f t="shared" si="173"/>
        <v>R</v>
      </c>
      <c r="M584" s="1" t="str">
        <f t="shared" si="195"/>
        <v>T10</v>
      </c>
      <c r="N584" s="1" t="str">
        <f t="shared" si="182"/>
        <v>Y</v>
      </c>
      <c r="O584" s="1" t="str">
        <f t="shared" ref="O584:O599" si="198">"Y"</f>
        <v>Y</v>
      </c>
      <c r="P584" s="1" t="str">
        <f t="shared" si="174"/>
        <v>Y</v>
      </c>
      <c r="Q584" s="1" t="str">
        <f>"L"</f>
        <v>L</v>
      </c>
    </row>
    <row r="585" spans="1:17" x14ac:dyDescent="0.3">
      <c r="A585" s="1" t="str">
        <f t="shared" si="190"/>
        <v>C1</v>
      </c>
      <c r="B585" s="1" t="str">
        <f>"NHL301H"</f>
        <v>NHL301H</v>
      </c>
      <c r="C585" s="1" t="str">
        <f>"(좌측)고주파수청력저하 요관찰"</f>
        <v>(좌측)고주파수청력저하 요관찰</v>
      </c>
      <c r="D585" s="1" t="s">
        <v>158</v>
      </c>
      <c r="E585" s="1" t="str">
        <f t="shared" si="196"/>
        <v>WOK02</v>
      </c>
      <c r="F585" s="1" t="str">
        <f>"PTM02"</f>
        <v>PTM02</v>
      </c>
      <c r="G585" s="1" t="str">
        <f>"DIS110"</f>
        <v>DIS110</v>
      </c>
      <c r="H585" s="1" t="str">
        <f>"REL19"</f>
        <v>REL19</v>
      </c>
      <c r="I585" s="1" t="str">
        <f t="shared" si="197"/>
        <v>01</v>
      </c>
      <c r="J585" s="1" t="str">
        <f t="shared" si="194"/>
        <v>S01C</v>
      </c>
      <c r="K585" s="1" t="str">
        <f t="shared" si="194"/>
        <v>S01C</v>
      </c>
      <c r="L585" s="1" t="str">
        <f t="shared" ref="L585:L648" si="199">"R"</f>
        <v>R</v>
      </c>
      <c r="M585" s="1" t="str">
        <f t="shared" si="195"/>
        <v>T10</v>
      </c>
      <c r="N585" s="1" t="str">
        <f t="shared" si="182"/>
        <v>Y</v>
      </c>
      <c r="O585" s="1" t="str">
        <f t="shared" si="198"/>
        <v>Y</v>
      </c>
      <c r="P585" s="1" t="str">
        <f t="shared" si="174"/>
        <v>Y</v>
      </c>
      <c r="Q585" s="1" t="str">
        <f>"L"</f>
        <v>L</v>
      </c>
    </row>
    <row r="586" spans="1:17" x14ac:dyDescent="0.3">
      <c r="A586" s="1" t="str">
        <f t="shared" si="190"/>
        <v>C1</v>
      </c>
      <c r="B586" s="1" t="str">
        <f>"NHL301HPL"</f>
        <v>NHL301HPL</v>
      </c>
      <c r="C586" s="1" t="str">
        <f>"(좌측)청력저하 주의(고기압)"</f>
        <v>(좌측)청력저하 주의(고기압)</v>
      </c>
      <c r="D586" s="1" t="str">
        <f>"경미한 청력저하 소견입니다. 정기적인 청력검사가 필요합니다."</f>
        <v>경미한 청력저하 소견입니다. 정기적인 청력검사가 필요합니다.</v>
      </c>
      <c r="E586" s="1" t="str">
        <f t="shared" si="196"/>
        <v>WOK02</v>
      </c>
      <c r="F586" s="1" t="str">
        <f>"PTM01"</f>
        <v>PTM01</v>
      </c>
      <c r="G586" s="1" t="str">
        <f>"DIS141"</f>
        <v>DIS141</v>
      </c>
      <c r="H586" s="1" t="str">
        <f>"REL31"</f>
        <v>REL31</v>
      </c>
      <c r="I586" s="1" t="str">
        <f t="shared" si="197"/>
        <v>01</v>
      </c>
      <c r="J586" s="1" t="str">
        <f>"C55C"</f>
        <v>C55C</v>
      </c>
      <c r="K586" s="1" t="str">
        <f>"C55C"</f>
        <v>C55C</v>
      </c>
      <c r="L586" s="1" t="str">
        <f t="shared" si="199"/>
        <v>R</v>
      </c>
      <c r="M586" s="1" t="str">
        <f t="shared" si="195"/>
        <v>T10</v>
      </c>
      <c r="N586" s="1" t="str">
        <f t="shared" si="182"/>
        <v>Y</v>
      </c>
      <c r="O586" s="1" t="str">
        <f t="shared" si="198"/>
        <v>Y</v>
      </c>
      <c r="P586" s="1" t="str">
        <f t="shared" ref="P586:P649" si="200">"Y"</f>
        <v>Y</v>
      </c>
      <c r="Q586" s="1" t="str">
        <f>"L"</f>
        <v>L</v>
      </c>
    </row>
    <row r="587" spans="1:17" x14ac:dyDescent="0.3">
      <c r="A587" s="1" t="str">
        <f t="shared" si="190"/>
        <v>C1</v>
      </c>
      <c r="B587" s="1" t="str">
        <f>"NHL301HPR"</f>
        <v>NHL301HPR</v>
      </c>
      <c r="C587" s="1" t="str">
        <f>"(우측)청력저하 주의(고기압)"</f>
        <v>(우측)청력저하 주의(고기압)</v>
      </c>
      <c r="D587" s="1" t="str">
        <f>"경미한 청력저하 소견입니다. 정기적인 청력검사가 필요합니다."</f>
        <v>경미한 청력저하 소견입니다. 정기적인 청력검사가 필요합니다.</v>
      </c>
      <c r="E587" s="1" t="str">
        <f t="shared" si="196"/>
        <v>WOK02</v>
      </c>
      <c r="F587" s="1" t="str">
        <f>"PTM01"</f>
        <v>PTM01</v>
      </c>
      <c r="G587" s="1" t="str">
        <f>"DIS141"</f>
        <v>DIS141</v>
      </c>
      <c r="H587" s="1" t="str">
        <f>"REL31"</f>
        <v>REL31</v>
      </c>
      <c r="I587" s="1" t="str">
        <f t="shared" si="197"/>
        <v>01</v>
      </c>
      <c r="J587" s="1" t="str">
        <f>"C55C"</f>
        <v>C55C</v>
      </c>
      <c r="K587" s="1" t="str">
        <f>"C55C"</f>
        <v>C55C</v>
      </c>
      <c r="L587" s="1" t="str">
        <f t="shared" si="199"/>
        <v>R</v>
      </c>
      <c r="M587" s="1" t="str">
        <f t="shared" si="195"/>
        <v>T10</v>
      </c>
      <c r="N587" s="1" t="str">
        <f t="shared" si="182"/>
        <v>Y</v>
      </c>
      <c r="O587" s="1" t="str">
        <f t="shared" si="198"/>
        <v>Y</v>
      </c>
      <c r="P587" s="1" t="str">
        <f t="shared" si="200"/>
        <v>Y</v>
      </c>
      <c r="Q587" s="1" t="str">
        <f>"R"</f>
        <v>R</v>
      </c>
    </row>
    <row r="588" spans="1:17" x14ac:dyDescent="0.3">
      <c r="A588" s="1" t="str">
        <f t="shared" si="190"/>
        <v>C1</v>
      </c>
      <c r="B588" s="1" t="str">
        <f>"NHL301R"</f>
        <v>NHL301R</v>
      </c>
      <c r="C588" s="1" t="str">
        <f>"(우측)소음성난청 주의"</f>
        <v>(우측)소음성난청 주의</v>
      </c>
      <c r="D588" s="1" t="s">
        <v>175</v>
      </c>
      <c r="E588" s="1" t="str">
        <f t="shared" si="196"/>
        <v>WOK02</v>
      </c>
      <c r="F588" s="1" t="str">
        <f t="shared" ref="F588:F596" si="201">"PTM0312"</f>
        <v>PTM0312</v>
      </c>
      <c r="G588" s="1" t="str">
        <f>"DIS110"</f>
        <v>DIS110</v>
      </c>
      <c r="H588" s="1" t="str">
        <f t="shared" ref="H588:H596" si="202">"REL19"</f>
        <v>REL19</v>
      </c>
      <c r="I588" s="1" t="str">
        <f t="shared" si="197"/>
        <v>01</v>
      </c>
      <c r="J588" s="1" t="str">
        <f>"S01C"</f>
        <v>S01C</v>
      </c>
      <c r="K588" s="1" t="str">
        <f>"S01C"</f>
        <v>S01C</v>
      </c>
      <c r="L588" s="1" t="str">
        <f t="shared" si="199"/>
        <v>R</v>
      </c>
      <c r="M588" s="1" t="str">
        <f t="shared" si="195"/>
        <v>T10</v>
      </c>
      <c r="N588" s="1" t="str">
        <f t="shared" si="182"/>
        <v>Y</v>
      </c>
      <c r="O588" s="1" t="str">
        <f t="shared" si="198"/>
        <v>Y</v>
      </c>
      <c r="P588" s="1" t="str">
        <f t="shared" si="200"/>
        <v>Y</v>
      </c>
      <c r="Q588" s="1" t="str">
        <f>"R"</f>
        <v>R</v>
      </c>
    </row>
    <row r="589" spans="1:17" x14ac:dyDescent="0.3">
      <c r="A589" s="1" t="str">
        <f t="shared" si="190"/>
        <v>C1</v>
      </c>
      <c r="B589" s="1" t="str">
        <f>"NHL302"</f>
        <v>NHL302</v>
      </c>
      <c r="C589" s="1" t="str">
        <f>"(좌측)전음성난청 주의"</f>
        <v>(좌측)전음성난청 주의</v>
      </c>
      <c r="D589" s="1" t="s">
        <v>176</v>
      </c>
      <c r="E589" s="1" t="str">
        <f t="shared" si="196"/>
        <v>WOK02</v>
      </c>
      <c r="F589" s="1" t="str">
        <f t="shared" si="201"/>
        <v>PTM0312</v>
      </c>
      <c r="G589" s="1" t="str">
        <f t="shared" ref="G589:G596" si="203">"DISH"</f>
        <v>DISH</v>
      </c>
      <c r="H589" s="1" t="str">
        <f t="shared" si="202"/>
        <v>REL19</v>
      </c>
      <c r="I589" s="1" t="str">
        <f t="shared" si="197"/>
        <v>01</v>
      </c>
      <c r="J589" s="1" t="str">
        <f t="shared" ref="J589:K596" si="204">"C55C"</f>
        <v>C55C</v>
      </c>
      <c r="K589" s="1" t="str">
        <f t="shared" si="204"/>
        <v>C55C</v>
      </c>
      <c r="L589" s="1" t="str">
        <f t="shared" si="199"/>
        <v>R</v>
      </c>
      <c r="M589" s="1" t="str">
        <f t="shared" si="195"/>
        <v>T10</v>
      </c>
      <c r="N589" s="1" t="str">
        <f t="shared" si="182"/>
        <v>Y</v>
      </c>
      <c r="O589" s="1" t="str">
        <f t="shared" si="198"/>
        <v>Y</v>
      </c>
      <c r="P589" s="1" t="str">
        <f t="shared" si="200"/>
        <v>Y</v>
      </c>
      <c r="Q589" s="1" t="str">
        <f>"L"</f>
        <v>L</v>
      </c>
    </row>
    <row r="590" spans="1:17" x14ac:dyDescent="0.3">
      <c r="A590" s="1" t="str">
        <f t="shared" si="190"/>
        <v>C1</v>
      </c>
      <c r="B590" s="1" t="str">
        <f>"NHL302R"</f>
        <v>NHL302R</v>
      </c>
      <c r="C590" s="1" t="str">
        <f>"(우측)전음성난청 주의"</f>
        <v>(우측)전음성난청 주의</v>
      </c>
      <c r="D590" s="1" t="s">
        <v>176</v>
      </c>
      <c r="E590" s="1" t="str">
        <f t="shared" si="196"/>
        <v>WOK02</v>
      </c>
      <c r="F590" s="1" t="str">
        <f t="shared" si="201"/>
        <v>PTM0312</v>
      </c>
      <c r="G590" s="1" t="str">
        <f t="shared" si="203"/>
        <v>DISH</v>
      </c>
      <c r="H590" s="1" t="str">
        <f t="shared" si="202"/>
        <v>REL19</v>
      </c>
      <c r="I590" s="1" t="str">
        <f t="shared" si="197"/>
        <v>01</v>
      </c>
      <c r="J590" s="1" t="str">
        <f t="shared" si="204"/>
        <v>C55C</v>
      </c>
      <c r="K590" s="1" t="str">
        <f t="shared" si="204"/>
        <v>C55C</v>
      </c>
      <c r="L590" s="1" t="str">
        <f t="shared" si="199"/>
        <v>R</v>
      </c>
      <c r="M590" s="1" t="str">
        <f t="shared" si="195"/>
        <v>T10</v>
      </c>
      <c r="N590" s="1" t="str">
        <f t="shared" si="182"/>
        <v>Y</v>
      </c>
      <c r="O590" s="1" t="str">
        <f t="shared" si="198"/>
        <v>Y</v>
      </c>
      <c r="P590" s="1" t="str">
        <f t="shared" si="200"/>
        <v>Y</v>
      </c>
      <c r="Q590" s="1" t="str">
        <f>"R"</f>
        <v>R</v>
      </c>
    </row>
    <row r="591" spans="1:17" x14ac:dyDescent="0.3">
      <c r="A591" s="1" t="str">
        <f t="shared" ref="A591:A607" si="205">"C1"</f>
        <v>C1</v>
      </c>
      <c r="B591" s="1" t="str">
        <f>"NHL303"</f>
        <v>NHL303</v>
      </c>
      <c r="C591" s="1" t="str">
        <f>"(좌측)혼합성난청 주의"</f>
        <v>(좌측)혼합성난청 주의</v>
      </c>
      <c r="D591" s="1" t="str">
        <f>"소음이나 노화에 의한 난청과 귀질환이 함께 있을 가능성이 있습니다. 정확한 진단을 위해 이비인후과 진료 바랍니다."</f>
        <v>소음이나 노화에 의한 난청과 귀질환이 함께 있을 가능성이 있습니다. 정확한 진단을 위해 이비인후과 진료 바랍니다.</v>
      </c>
      <c r="E591" s="1" t="str">
        <f t="shared" si="196"/>
        <v>WOK02</v>
      </c>
      <c r="F591" s="1" t="str">
        <f t="shared" si="201"/>
        <v>PTM0312</v>
      </c>
      <c r="G591" s="1" t="str">
        <f t="shared" si="203"/>
        <v>DISH</v>
      </c>
      <c r="H591" s="1" t="str">
        <f t="shared" si="202"/>
        <v>REL19</v>
      </c>
      <c r="I591" s="1" t="str">
        <f t="shared" si="197"/>
        <v>01</v>
      </c>
      <c r="J591" s="1" t="str">
        <f t="shared" si="204"/>
        <v>C55C</v>
      </c>
      <c r="K591" s="1" t="str">
        <f t="shared" si="204"/>
        <v>C55C</v>
      </c>
      <c r="L591" s="1" t="str">
        <f t="shared" si="199"/>
        <v>R</v>
      </c>
      <c r="M591" s="1" t="str">
        <f t="shared" si="195"/>
        <v>T10</v>
      </c>
      <c r="N591" s="1" t="str">
        <f t="shared" si="182"/>
        <v>Y</v>
      </c>
      <c r="O591" s="1" t="str">
        <f t="shared" si="198"/>
        <v>Y</v>
      </c>
      <c r="P591" s="1" t="str">
        <f t="shared" si="200"/>
        <v>Y</v>
      </c>
      <c r="Q591" s="1" t="str">
        <f>"L"</f>
        <v>L</v>
      </c>
    </row>
    <row r="592" spans="1:17" x14ac:dyDescent="0.3">
      <c r="A592" s="1" t="str">
        <f t="shared" si="205"/>
        <v>C1</v>
      </c>
      <c r="B592" s="1" t="str">
        <f>"NHL303R"</f>
        <v>NHL303R</v>
      </c>
      <c r="C592" s="1" t="str">
        <f>"(우측)혼합성난청 주의"</f>
        <v>(우측)혼합성난청 주의</v>
      </c>
      <c r="D592" s="1" t="str">
        <f>"소음이나 노화에 의한 난청과 귀질환이 함께 있을 가능성이 있습니다. 정확한 진단을 위해 이비인후과 진료 바랍니다."</f>
        <v>소음이나 노화에 의한 난청과 귀질환이 함께 있을 가능성이 있습니다. 정확한 진단을 위해 이비인후과 진료 바랍니다.</v>
      </c>
      <c r="E592" s="1" t="str">
        <f t="shared" si="196"/>
        <v>WOK02</v>
      </c>
      <c r="F592" s="1" t="str">
        <f t="shared" si="201"/>
        <v>PTM0312</v>
      </c>
      <c r="G592" s="1" t="str">
        <f t="shared" si="203"/>
        <v>DISH</v>
      </c>
      <c r="H592" s="1" t="str">
        <f t="shared" si="202"/>
        <v>REL19</v>
      </c>
      <c r="I592" s="1" t="str">
        <f t="shared" si="197"/>
        <v>01</v>
      </c>
      <c r="J592" s="1" t="str">
        <f t="shared" si="204"/>
        <v>C55C</v>
      </c>
      <c r="K592" s="1" t="str">
        <f t="shared" si="204"/>
        <v>C55C</v>
      </c>
      <c r="L592" s="1" t="str">
        <f t="shared" si="199"/>
        <v>R</v>
      </c>
      <c r="M592" s="1" t="str">
        <f t="shared" si="195"/>
        <v>T10</v>
      </c>
      <c r="N592" s="1" t="str">
        <f t="shared" si="182"/>
        <v>Y</v>
      </c>
      <c r="O592" s="1" t="str">
        <f t="shared" si="198"/>
        <v>Y</v>
      </c>
      <c r="P592" s="1" t="str">
        <f t="shared" si="200"/>
        <v>Y</v>
      </c>
      <c r="Q592" s="1" t="str">
        <f>"R"</f>
        <v>R</v>
      </c>
    </row>
    <row r="593" spans="1:17" x14ac:dyDescent="0.3">
      <c r="A593" s="1" t="str">
        <f t="shared" si="205"/>
        <v>C1</v>
      </c>
      <c r="B593" s="1" t="str">
        <f>"NHL304"</f>
        <v>NHL304</v>
      </c>
      <c r="C593" s="1" t="str">
        <f>"(좌측)노인성난청 주의"</f>
        <v>(좌측)노인성난청 주의</v>
      </c>
      <c r="D593" s="1" t="s">
        <v>177</v>
      </c>
      <c r="E593" s="1" t="str">
        <f t="shared" si="196"/>
        <v>WOK02</v>
      </c>
      <c r="F593" s="1" t="str">
        <f t="shared" si="201"/>
        <v>PTM0312</v>
      </c>
      <c r="G593" s="1" t="str">
        <f t="shared" si="203"/>
        <v>DISH</v>
      </c>
      <c r="H593" s="1" t="str">
        <f t="shared" si="202"/>
        <v>REL19</v>
      </c>
      <c r="I593" s="1" t="str">
        <f t="shared" si="197"/>
        <v>01</v>
      </c>
      <c r="J593" s="1" t="str">
        <f t="shared" si="204"/>
        <v>C55C</v>
      </c>
      <c r="K593" s="1" t="str">
        <f t="shared" si="204"/>
        <v>C55C</v>
      </c>
      <c r="L593" s="1" t="str">
        <f t="shared" si="199"/>
        <v>R</v>
      </c>
      <c r="M593" s="1" t="str">
        <f t="shared" si="195"/>
        <v>T10</v>
      </c>
      <c r="N593" s="1" t="str">
        <f t="shared" si="182"/>
        <v>Y</v>
      </c>
      <c r="O593" s="1" t="str">
        <f t="shared" si="198"/>
        <v>Y</v>
      </c>
      <c r="P593" s="1" t="str">
        <f t="shared" si="200"/>
        <v>Y</v>
      </c>
      <c r="Q593" s="1" t="str">
        <f>"L"</f>
        <v>L</v>
      </c>
    </row>
    <row r="594" spans="1:17" x14ac:dyDescent="0.3">
      <c r="A594" s="1" t="str">
        <f t="shared" si="205"/>
        <v>C1</v>
      </c>
      <c r="B594" s="1" t="str">
        <f>"NHL304R"</f>
        <v>NHL304R</v>
      </c>
      <c r="C594" s="1" t="str">
        <f>"(우측)노인성난청 주의"</f>
        <v>(우측)노인성난청 주의</v>
      </c>
      <c r="D594" s="1" t="s">
        <v>177</v>
      </c>
      <c r="E594" s="1" t="str">
        <f t="shared" si="196"/>
        <v>WOK02</v>
      </c>
      <c r="F594" s="1" t="str">
        <f t="shared" si="201"/>
        <v>PTM0312</v>
      </c>
      <c r="G594" s="1" t="str">
        <f t="shared" si="203"/>
        <v>DISH</v>
      </c>
      <c r="H594" s="1" t="str">
        <f t="shared" si="202"/>
        <v>REL19</v>
      </c>
      <c r="I594" s="1" t="str">
        <f t="shared" si="197"/>
        <v>01</v>
      </c>
      <c r="J594" s="1" t="str">
        <f t="shared" si="204"/>
        <v>C55C</v>
      </c>
      <c r="K594" s="1" t="str">
        <f t="shared" si="204"/>
        <v>C55C</v>
      </c>
      <c r="L594" s="1" t="str">
        <f t="shared" si="199"/>
        <v>R</v>
      </c>
      <c r="M594" s="1" t="str">
        <f t="shared" si="195"/>
        <v>T10</v>
      </c>
      <c r="N594" s="1" t="str">
        <f t="shared" si="182"/>
        <v>Y</v>
      </c>
      <c r="O594" s="1" t="str">
        <f t="shared" si="198"/>
        <v>Y</v>
      </c>
      <c r="P594" s="1" t="str">
        <f t="shared" si="200"/>
        <v>Y</v>
      </c>
      <c r="Q594" s="1" t="str">
        <f>"R"</f>
        <v>R</v>
      </c>
    </row>
    <row r="595" spans="1:17" x14ac:dyDescent="0.3">
      <c r="A595" s="1" t="str">
        <f t="shared" si="205"/>
        <v>C1</v>
      </c>
      <c r="B595" s="1" t="str">
        <f>"NHL305"</f>
        <v>NHL305</v>
      </c>
      <c r="C595" s="1" t="str">
        <f>"(좌측)감각신경성난청 주의"</f>
        <v>(좌측)감각신경성난청 주의</v>
      </c>
      <c r="D595" s="1" t="s">
        <v>178</v>
      </c>
      <c r="E595" s="1" t="str">
        <f t="shared" si="196"/>
        <v>WOK02</v>
      </c>
      <c r="F595" s="1" t="str">
        <f t="shared" si="201"/>
        <v>PTM0312</v>
      </c>
      <c r="G595" s="1" t="str">
        <f t="shared" si="203"/>
        <v>DISH</v>
      </c>
      <c r="H595" s="1" t="str">
        <f t="shared" si="202"/>
        <v>REL19</v>
      </c>
      <c r="I595" s="1" t="str">
        <f t="shared" si="197"/>
        <v>01</v>
      </c>
      <c r="J595" s="1" t="str">
        <f t="shared" si="204"/>
        <v>C55C</v>
      </c>
      <c r="K595" s="1" t="str">
        <f t="shared" si="204"/>
        <v>C55C</v>
      </c>
      <c r="L595" s="1" t="str">
        <f t="shared" si="199"/>
        <v>R</v>
      </c>
      <c r="M595" s="1" t="str">
        <f t="shared" si="195"/>
        <v>T10</v>
      </c>
      <c r="N595" s="1" t="str">
        <f t="shared" si="182"/>
        <v>Y</v>
      </c>
      <c r="O595" s="1" t="str">
        <f t="shared" si="198"/>
        <v>Y</v>
      </c>
      <c r="P595" s="1" t="str">
        <f t="shared" si="200"/>
        <v>Y</v>
      </c>
      <c r="Q595" s="1" t="str">
        <f>"L"</f>
        <v>L</v>
      </c>
    </row>
    <row r="596" spans="1:17" x14ac:dyDescent="0.3">
      <c r="A596" s="1" t="str">
        <f t="shared" si="205"/>
        <v>C1</v>
      </c>
      <c r="B596" s="1" t="str">
        <f>"NHL305R"</f>
        <v>NHL305R</v>
      </c>
      <c r="C596" s="1" t="str">
        <f>"(우측)감각신경성난청 주의"</f>
        <v>(우측)감각신경성난청 주의</v>
      </c>
      <c r="D596" s="1" t="s">
        <v>178</v>
      </c>
      <c r="E596" s="1" t="str">
        <f t="shared" si="196"/>
        <v>WOK02</v>
      </c>
      <c r="F596" s="1" t="str">
        <f t="shared" si="201"/>
        <v>PTM0312</v>
      </c>
      <c r="G596" s="1" t="str">
        <f t="shared" si="203"/>
        <v>DISH</v>
      </c>
      <c r="H596" s="1" t="str">
        <f t="shared" si="202"/>
        <v>REL19</v>
      </c>
      <c r="I596" s="1" t="str">
        <f t="shared" si="197"/>
        <v>01</v>
      </c>
      <c r="J596" s="1" t="str">
        <f t="shared" si="204"/>
        <v>C55C</v>
      </c>
      <c r="K596" s="1" t="str">
        <f t="shared" si="204"/>
        <v>C55C</v>
      </c>
      <c r="L596" s="1" t="str">
        <f t="shared" si="199"/>
        <v>R</v>
      </c>
      <c r="M596" s="1" t="str">
        <f t="shared" si="195"/>
        <v>T10</v>
      </c>
      <c r="N596" s="1" t="str">
        <f t="shared" si="182"/>
        <v>Y</v>
      </c>
      <c r="O596" s="1" t="str">
        <f t="shared" si="198"/>
        <v>Y</v>
      </c>
      <c r="P596" s="1" t="str">
        <f t="shared" si="200"/>
        <v>Y</v>
      </c>
      <c r="Q596" s="1" t="str">
        <f>"R"</f>
        <v>R</v>
      </c>
    </row>
    <row r="597" spans="1:17" x14ac:dyDescent="0.3">
      <c r="A597" s="1" t="str">
        <f t="shared" si="205"/>
        <v>C1</v>
      </c>
      <c r="B597" s="1" t="str">
        <f>"NRM601"</f>
        <v>NRM601</v>
      </c>
      <c r="C597" s="1" t="str">
        <f>"신경계 이상 증상 주의"</f>
        <v>신경계 이상 증상 주의</v>
      </c>
      <c r="D597" s="1" t="s">
        <v>179</v>
      </c>
      <c r="E597" s="1" t="str">
        <f t="shared" si="196"/>
        <v>WOK02</v>
      </c>
      <c r="F597" s="1" t="str">
        <f>"PTM01"</f>
        <v>PTM01</v>
      </c>
      <c r="G597" s="1" t="str">
        <f>"DISG"</f>
        <v>DISG</v>
      </c>
      <c r="H597" s="1" t="str">
        <f>"REL21"</f>
        <v>REL21</v>
      </c>
      <c r="I597" s="1" t="str">
        <f>""</f>
        <v/>
      </c>
      <c r="J597" s="1" t="str">
        <f>"C37C"</f>
        <v>C37C</v>
      </c>
      <c r="K597" s="1" t="str">
        <f>"S01C"</f>
        <v>S01C</v>
      </c>
      <c r="L597" s="1" t="str">
        <f t="shared" si="199"/>
        <v>R</v>
      </c>
      <c r="M597" s="1" t="str">
        <f>"T06"</f>
        <v>T06</v>
      </c>
      <c r="N597" s="1" t="str">
        <f t="shared" si="182"/>
        <v>Y</v>
      </c>
      <c r="O597" s="1" t="str">
        <f t="shared" si="198"/>
        <v>Y</v>
      </c>
      <c r="P597" s="1" t="str">
        <f t="shared" si="200"/>
        <v>Y</v>
      </c>
      <c r="Q597" s="1" t="str">
        <f>"A"</f>
        <v>A</v>
      </c>
    </row>
    <row r="598" spans="1:17" x14ac:dyDescent="0.3">
      <c r="A598" s="1" t="str">
        <f t="shared" si="205"/>
        <v>C1</v>
      </c>
      <c r="B598" s="1" t="str">
        <f>"OHA1001"</f>
        <v>OHA1001</v>
      </c>
      <c r="C598" s="1" t="str">
        <f>"(좌측)고음역 청력저하"</f>
        <v>(좌측)고음역 청력저하</v>
      </c>
      <c r="D598" s="1" t="str">
        <f>"청력검사상 고음역 청력저하소견이 있습니다. 청력보호를 위해 소음노출을 삼가하고 주기적으로 청력검사를 받아보실 것을 권합니다."</f>
        <v>청력검사상 고음역 청력저하소견이 있습니다. 청력보호를 위해 소음노출을 삼가하고 주기적으로 청력검사를 받아보실 것을 권합니다.</v>
      </c>
      <c r="E598" s="1" t="str">
        <f t="shared" si="196"/>
        <v>WOK02</v>
      </c>
      <c r="F598" s="1" t="str">
        <f>"PTM02"</f>
        <v>PTM02</v>
      </c>
      <c r="G598" s="1" t="str">
        <f>"DIS110"</f>
        <v>DIS110</v>
      </c>
      <c r="H598" s="1" t="str">
        <f>"REL19"</f>
        <v>REL19</v>
      </c>
      <c r="I598" s="1" t="str">
        <f>""</f>
        <v/>
      </c>
      <c r="J598" s="1" t="str">
        <f>"C55C"</f>
        <v>C55C</v>
      </c>
      <c r="K598" s="1" t="str">
        <f>"C55C"</f>
        <v>C55C</v>
      </c>
      <c r="L598" s="1" t="str">
        <f t="shared" si="199"/>
        <v>R</v>
      </c>
      <c r="M598" s="1" t="str">
        <f>"T10"</f>
        <v>T10</v>
      </c>
      <c r="N598" s="1" t="str">
        <f t="shared" si="182"/>
        <v>Y</v>
      </c>
      <c r="O598" s="1" t="str">
        <f t="shared" si="198"/>
        <v>Y</v>
      </c>
      <c r="P598" s="1" t="str">
        <f t="shared" si="200"/>
        <v>Y</v>
      </c>
      <c r="Q598" s="1" t="str">
        <f>"L"</f>
        <v>L</v>
      </c>
    </row>
    <row r="599" spans="1:17" x14ac:dyDescent="0.3">
      <c r="A599" s="1" t="str">
        <f t="shared" si="205"/>
        <v>C1</v>
      </c>
      <c r="B599" s="1" t="str">
        <f>"OHA6001"</f>
        <v>OHA6001</v>
      </c>
      <c r="C599" s="1" t="str">
        <f>"(우측)고음역 청력저하"</f>
        <v>(우측)고음역 청력저하</v>
      </c>
      <c r="D599" s="1" t="str">
        <f>"청력검사상 고음역 청력저하소견이 있습니다. 청력보호를 위해 소음노출을 삼가하고 주기적으로 청력검사를 받아보실 것을 권합니다."</f>
        <v>청력검사상 고음역 청력저하소견이 있습니다. 청력보호를 위해 소음노출을 삼가하고 주기적으로 청력검사를 받아보실 것을 권합니다.</v>
      </c>
      <c r="E599" s="1" t="str">
        <f t="shared" si="196"/>
        <v>WOK02</v>
      </c>
      <c r="F599" s="1" t="str">
        <f>"PTM02"</f>
        <v>PTM02</v>
      </c>
      <c r="G599" s="1" t="str">
        <f>"DIS110"</f>
        <v>DIS110</v>
      </c>
      <c r="H599" s="1" t="str">
        <f>"REL19"</f>
        <v>REL19</v>
      </c>
      <c r="I599" s="1" t="str">
        <f>""</f>
        <v/>
      </c>
      <c r="J599" s="1" t="str">
        <f>"C55C"</f>
        <v>C55C</v>
      </c>
      <c r="K599" s="1" t="str">
        <f>"C55C"</f>
        <v>C55C</v>
      </c>
      <c r="L599" s="1" t="str">
        <f t="shared" si="199"/>
        <v>R</v>
      </c>
      <c r="M599" s="1" t="str">
        <f>"T10"</f>
        <v>T10</v>
      </c>
      <c r="N599" s="1" t="str">
        <f t="shared" si="182"/>
        <v>Y</v>
      </c>
      <c r="O599" s="1" t="str">
        <f t="shared" si="198"/>
        <v>Y</v>
      </c>
      <c r="P599" s="1" t="str">
        <f t="shared" si="200"/>
        <v>Y</v>
      </c>
      <c r="Q599" s="1" t="str">
        <f>"R"</f>
        <v>R</v>
      </c>
    </row>
    <row r="600" spans="1:17" x14ac:dyDescent="0.3">
      <c r="A600" s="1" t="str">
        <f t="shared" si="205"/>
        <v>C1</v>
      </c>
      <c r="B600" s="1" t="str">
        <f>"PNM04"</f>
        <v>PNM04</v>
      </c>
      <c r="C600" s="1" t="str">
        <f>"진폐의증"</f>
        <v>진폐의증</v>
      </c>
      <c r="D600" s="1" t="str">
        <f>"진폐증이 의심되니 확진을 위해 진폐전문병원에서 진찰 받으세요"</f>
        <v>진폐증이 의심되니 확진을 위해 진폐전문병원에서 진찰 받으세요</v>
      </c>
      <c r="E600" s="1" t="str">
        <f t="shared" si="196"/>
        <v>WOK02</v>
      </c>
      <c r="F600" s="1" t="str">
        <f>"PTM08"</f>
        <v>PTM08</v>
      </c>
      <c r="G600" s="1" t="str">
        <f>"DISJ"</f>
        <v>DISJ</v>
      </c>
      <c r="H600" s="1" t="str">
        <f>"REL20"</f>
        <v>REL20</v>
      </c>
      <c r="I600" s="1" t="str">
        <f>""</f>
        <v/>
      </c>
      <c r="J600" s="1" t="str">
        <f>"C02D"</f>
        <v>C02D</v>
      </c>
      <c r="K600" s="1" t="str">
        <f>"C02D"</f>
        <v>C02D</v>
      </c>
      <c r="L600" s="1" t="str">
        <f t="shared" si="199"/>
        <v>R</v>
      </c>
      <c r="M600" s="1" t="str">
        <f>"T04"</f>
        <v>T04</v>
      </c>
      <c r="N600" s="1" t="str">
        <f t="shared" si="182"/>
        <v>Y</v>
      </c>
      <c r="O600" s="1" t="str">
        <f>"N"</f>
        <v>N</v>
      </c>
      <c r="P600" s="1" t="str">
        <f t="shared" si="200"/>
        <v>Y</v>
      </c>
      <c r="Q600" s="1" t="str">
        <f>"A"</f>
        <v>A</v>
      </c>
    </row>
    <row r="601" spans="1:17" x14ac:dyDescent="0.3">
      <c r="A601" s="1" t="str">
        <f t="shared" si="205"/>
        <v>C1</v>
      </c>
      <c r="B601" s="1" t="str">
        <f>"PRE005"</f>
        <v>PRE005</v>
      </c>
      <c r="C601" s="1" t="str">
        <f>"배치 가능 (소음 작업)"</f>
        <v>배치 가능 (소음 작업)</v>
      </c>
      <c r="D601" s="1" t="s">
        <v>180</v>
      </c>
      <c r="E601" s="1" t="str">
        <f t="shared" si="196"/>
        <v>WOK02</v>
      </c>
      <c r="F601" s="1" t="str">
        <f>"PTM02"</f>
        <v>PTM02</v>
      </c>
      <c r="G601" s="1" t="str">
        <f>"DIS110"</f>
        <v>DIS110</v>
      </c>
      <c r="H601" s="1" t="str">
        <f>"REL19"</f>
        <v>REL19</v>
      </c>
      <c r="I601" s="1" t="str">
        <f>"01"</f>
        <v>01</v>
      </c>
      <c r="J601" s="1" t="str">
        <f t="shared" ref="J601:K603" si="206">"S01C"</f>
        <v>S01C</v>
      </c>
      <c r="K601" s="1" t="str">
        <f t="shared" si="206"/>
        <v>S01C</v>
      </c>
      <c r="L601" s="1" t="str">
        <f t="shared" si="199"/>
        <v>R</v>
      </c>
      <c r="M601" s="1" t="str">
        <f>"T10"</f>
        <v>T10</v>
      </c>
      <c r="N601" s="1" t="str">
        <f t="shared" si="182"/>
        <v>Y</v>
      </c>
      <c r="O601" s="1" t="str">
        <f t="shared" ref="O601:O664" si="207">"Y"</f>
        <v>Y</v>
      </c>
      <c r="P601" s="1" t="str">
        <f t="shared" si="200"/>
        <v>Y</v>
      </c>
      <c r="Q601" s="1" t="str">
        <f>"A"</f>
        <v>A</v>
      </c>
    </row>
    <row r="602" spans="1:17" x14ac:dyDescent="0.3">
      <c r="A602" s="1" t="str">
        <f t="shared" si="205"/>
        <v>C1</v>
      </c>
      <c r="B602" s="1" t="str">
        <f>"PRE006"</f>
        <v>PRE006</v>
      </c>
      <c r="C602" s="1" t="str">
        <f>"배치 가능 (소음작업)"</f>
        <v>배치 가능 (소음작업)</v>
      </c>
      <c r="D602" s="1" t="s">
        <v>181</v>
      </c>
      <c r="E602" s="1" t="str">
        <f t="shared" si="196"/>
        <v>WOK02</v>
      </c>
      <c r="F602" s="1" t="str">
        <f>"PTM02"</f>
        <v>PTM02</v>
      </c>
      <c r="G602" s="1" t="str">
        <f>"DIS110"</f>
        <v>DIS110</v>
      </c>
      <c r="H602" s="1" t="str">
        <f>"REL19"</f>
        <v>REL19</v>
      </c>
      <c r="I602" s="1" t="str">
        <f>"01"</f>
        <v>01</v>
      </c>
      <c r="J602" s="1" t="str">
        <f t="shared" si="206"/>
        <v>S01C</v>
      </c>
      <c r="K602" s="1" t="str">
        <f t="shared" si="206"/>
        <v>S01C</v>
      </c>
      <c r="L602" s="1" t="str">
        <f t="shared" si="199"/>
        <v>R</v>
      </c>
      <c r="M602" s="1" t="str">
        <f>"T10"</f>
        <v>T10</v>
      </c>
      <c r="N602" s="1" t="str">
        <f t="shared" si="182"/>
        <v>Y</v>
      </c>
      <c r="O602" s="1" t="str">
        <f t="shared" si="207"/>
        <v>Y</v>
      </c>
      <c r="P602" s="1" t="str">
        <f t="shared" si="200"/>
        <v>Y</v>
      </c>
      <c r="Q602" s="1" t="str">
        <f>"L"</f>
        <v>L</v>
      </c>
    </row>
    <row r="603" spans="1:17" x14ac:dyDescent="0.3">
      <c r="A603" s="1" t="str">
        <f t="shared" si="205"/>
        <v>C1</v>
      </c>
      <c r="B603" s="1" t="str">
        <f>"PRE007"</f>
        <v>PRE007</v>
      </c>
      <c r="C603" s="1" t="str">
        <f>"배치 가능 (소음 작업)"</f>
        <v>배치 가능 (소음 작업)</v>
      </c>
      <c r="D603" s="1" t="s">
        <v>182</v>
      </c>
      <c r="E603" s="1" t="str">
        <f t="shared" si="196"/>
        <v>WOK02</v>
      </c>
      <c r="F603" s="1" t="str">
        <f>"PTM02"</f>
        <v>PTM02</v>
      </c>
      <c r="G603" s="1" t="str">
        <f>"DIS110"</f>
        <v>DIS110</v>
      </c>
      <c r="H603" s="1" t="str">
        <f>"REL19"</f>
        <v>REL19</v>
      </c>
      <c r="I603" s="1" t="str">
        <f>"01"</f>
        <v>01</v>
      </c>
      <c r="J603" s="1" t="str">
        <f t="shared" si="206"/>
        <v>S01C</v>
      </c>
      <c r="K603" s="1" t="str">
        <f t="shared" si="206"/>
        <v>S01C</v>
      </c>
      <c r="L603" s="1" t="str">
        <f t="shared" si="199"/>
        <v>R</v>
      </c>
      <c r="M603" s="1" t="str">
        <f>"T10"</f>
        <v>T10</v>
      </c>
      <c r="N603" s="1" t="str">
        <f t="shared" si="182"/>
        <v>Y</v>
      </c>
      <c r="O603" s="1" t="str">
        <f t="shared" si="207"/>
        <v>Y</v>
      </c>
      <c r="P603" s="1" t="str">
        <f t="shared" si="200"/>
        <v>Y</v>
      </c>
      <c r="Q603" s="1" t="str">
        <f>"R"</f>
        <v>R</v>
      </c>
    </row>
    <row r="604" spans="1:17" x14ac:dyDescent="0.3">
      <c r="A604" s="1" t="str">
        <f t="shared" si="205"/>
        <v>C1</v>
      </c>
      <c r="B604" s="1" t="str">
        <f>"T001"</f>
        <v>T001</v>
      </c>
      <c r="C604" s="1" t="str">
        <f>"(치아상태)법랑질파괴"</f>
        <v>(치아상태)법랑질파괴</v>
      </c>
      <c r="D604" s="1" t="s">
        <v>183</v>
      </c>
      <c r="E604" s="1" t="str">
        <f t="shared" si="196"/>
        <v>WOK02</v>
      </c>
      <c r="F604" s="1" t="str">
        <f t="shared" ref="F604:F610" si="208">"PTM01"</f>
        <v>PTM01</v>
      </c>
      <c r="G604" s="1" t="str">
        <f>"DISR"</f>
        <v>DISR</v>
      </c>
      <c r="H604" s="1" t="str">
        <f>"REL00"</f>
        <v>REL00</v>
      </c>
      <c r="I604" s="1" t="str">
        <f>""</f>
        <v/>
      </c>
      <c r="J604" s="1" t="str">
        <f t="shared" ref="J604:K607" si="209">"C30C"</f>
        <v>C30C</v>
      </c>
      <c r="K604" s="1" t="str">
        <f t="shared" si="209"/>
        <v>C30C</v>
      </c>
      <c r="L604" s="1" t="str">
        <f t="shared" si="199"/>
        <v>R</v>
      </c>
      <c r="M604" s="1" t="str">
        <f>"T11"</f>
        <v>T11</v>
      </c>
      <c r="N604" s="1" t="str">
        <f t="shared" ref="N604:N667" si="210">"Y"</f>
        <v>Y</v>
      </c>
      <c r="O604" s="1" t="str">
        <f t="shared" si="207"/>
        <v>Y</v>
      </c>
      <c r="P604" s="1" t="str">
        <f t="shared" si="200"/>
        <v>Y</v>
      </c>
      <c r="Q604" s="1" t="str">
        <f>"A"</f>
        <v>A</v>
      </c>
    </row>
    <row r="605" spans="1:17" x14ac:dyDescent="0.3">
      <c r="A605" s="1" t="str">
        <f t="shared" si="205"/>
        <v>C1</v>
      </c>
      <c r="B605" s="1" t="str">
        <f>"T002"</f>
        <v>T002</v>
      </c>
      <c r="C605" s="1" t="str">
        <f>"(치아상태)상아질파괴"</f>
        <v>(치아상태)상아질파괴</v>
      </c>
      <c r="D605" s="1" t="s">
        <v>184</v>
      </c>
      <c r="E605" s="1" t="str">
        <f t="shared" si="196"/>
        <v>WOK02</v>
      </c>
      <c r="F605" s="1" t="str">
        <f t="shared" si="208"/>
        <v>PTM01</v>
      </c>
      <c r="G605" s="1" t="str">
        <f>"DISR"</f>
        <v>DISR</v>
      </c>
      <c r="H605" s="1" t="str">
        <f>"REL00"</f>
        <v>REL00</v>
      </c>
      <c r="I605" s="1" t="str">
        <f>""</f>
        <v/>
      </c>
      <c r="J605" s="1" t="str">
        <f t="shared" si="209"/>
        <v>C30C</v>
      </c>
      <c r="K605" s="1" t="str">
        <f t="shared" si="209"/>
        <v>C30C</v>
      </c>
      <c r="L605" s="1" t="str">
        <f t="shared" si="199"/>
        <v>R</v>
      </c>
      <c r="M605" s="1" t="str">
        <f>"T11"</f>
        <v>T11</v>
      </c>
      <c r="N605" s="1" t="str">
        <f t="shared" si="210"/>
        <v>Y</v>
      </c>
      <c r="O605" s="1" t="str">
        <f t="shared" si="207"/>
        <v>Y</v>
      </c>
      <c r="P605" s="1" t="str">
        <f t="shared" si="200"/>
        <v>Y</v>
      </c>
      <c r="Q605" s="1" t="str">
        <f>"A"</f>
        <v>A</v>
      </c>
    </row>
    <row r="606" spans="1:17" x14ac:dyDescent="0.3">
      <c r="A606" s="1" t="str">
        <f t="shared" si="205"/>
        <v>C1</v>
      </c>
      <c r="B606" s="1" t="str">
        <f>"T003"</f>
        <v>T003</v>
      </c>
      <c r="C606" s="1" t="str">
        <f>"(치아상태)교두완전파괴"</f>
        <v>(치아상태)교두완전파괴</v>
      </c>
      <c r="D606" s="1" t="s">
        <v>185</v>
      </c>
      <c r="E606" s="1" t="str">
        <f t="shared" si="196"/>
        <v>WOK02</v>
      </c>
      <c r="F606" s="1" t="str">
        <f t="shared" si="208"/>
        <v>PTM01</v>
      </c>
      <c r="G606" s="1" t="str">
        <f>"DISR"</f>
        <v>DISR</v>
      </c>
      <c r="H606" s="1" t="str">
        <f>"REL00"</f>
        <v>REL00</v>
      </c>
      <c r="I606" s="1" t="str">
        <f>""</f>
        <v/>
      </c>
      <c r="J606" s="1" t="str">
        <f t="shared" si="209"/>
        <v>C30C</v>
      </c>
      <c r="K606" s="1" t="str">
        <f t="shared" si="209"/>
        <v>C30C</v>
      </c>
      <c r="L606" s="1" t="str">
        <f t="shared" si="199"/>
        <v>R</v>
      </c>
      <c r="M606" s="1" t="str">
        <f>"T11"</f>
        <v>T11</v>
      </c>
      <c r="N606" s="1" t="str">
        <f t="shared" si="210"/>
        <v>Y</v>
      </c>
      <c r="O606" s="1" t="str">
        <f t="shared" si="207"/>
        <v>Y</v>
      </c>
      <c r="P606" s="1" t="str">
        <f t="shared" si="200"/>
        <v>Y</v>
      </c>
      <c r="Q606" s="1" t="str">
        <f>"A"</f>
        <v>A</v>
      </c>
    </row>
    <row r="607" spans="1:17" x14ac:dyDescent="0.3">
      <c r="A607" s="1" t="str">
        <f t="shared" si="205"/>
        <v>C1</v>
      </c>
      <c r="B607" s="1" t="str">
        <f>"T004"</f>
        <v>T004</v>
      </c>
      <c r="C607" s="1" t="str">
        <f>"(치아상태)치관치근경계부까지파괴"</f>
        <v>(치아상태)치관치근경계부까지파괴</v>
      </c>
      <c r="D607" s="1" t="s">
        <v>186</v>
      </c>
      <c r="E607" s="1" t="str">
        <f t="shared" si="196"/>
        <v>WOK02</v>
      </c>
      <c r="F607" s="1" t="str">
        <f t="shared" si="208"/>
        <v>PTM01</v>
      </c>
      <c r="G607" s="1" t="str">
        <f>"DISR"</f>
        <v>DISR</v>
      </c>
      <c r="H607" s="1" t="str">
        <f>"REL00"</f>
        <v>REL00</v>
      </c>
      <c r="I607" s="1" t="str">
        <f>""</f>
        <v/>
      </c>
      <c r="J607" s="1" t="str">
        <f t="shared" si="209"/>
        <v>C30C</v>
      </c>
      <c r="K607" s="1" t="str">
        <f t="shared" si="209"/>
        <v>C30C</v>
      </c>
      <c r="L607" s="1" t="str">
        <f t="shared" si="199"/>
        <v>R</v>
      </c>
      <c r="M607" s="1" t="str">
        <f>"T11"</f>
        <v>T11</v>
      </c>
      <c r="N607" s="1" t="str">
        <f t="shared" si="210"/>
        <v>Y</v>
      </c>
      <c r="O607" s="1" t="str">
        <f t="shared" si="207"/>
        <v>Y</v>
      </c>
      <c r="P607" s="1" t="str">
        <f t="shared" si="200"/>
        <v>Y</v>
      </c>
      <c r="Q607" s="1" t="str">
        <f>"A"</f>
        <v>A</v>
      </c>
    </row>
    <row r="608" spans="1:17" x14ac:dyDescent="0.3">
      <c r="A608" s="1" t="str">
        <f t="shared" ref="A608:A671" si="211">"C2"</f>
        <v>C2</v>
      </c>
      <c r="B608" s="1" t="str">
        <f>"AAC201L"</f>
        <v>AAC201L</v>
      </c>
      <c r="C608" s="1" t="str">
        <f>"청력저하(좌측)"</f>
        <v>청력저하(좌측)</v>
      </c>
      <c r="D608" s="1" t="str">
        <f>"청력저하 소견 보입니다. 생활에 불편시 이비인후과 진료 요합니다."</f>
        <v>청력저하 소견 보입니다. 생활에 불편시 이비인후과 진료 요합니다.</v>
      </c>
      <c r="E608" s="1" t="str">
        <f t="shared" si="196"/>
        <v>WOK02</v>
      </c>
      <c r="F608" s="1" t="str">
        <f t="shared" si="208"/>
        <v>PTM01</v>
      </c>
      <c r="G608" s="1" t="str">
        <f>"DISH"</f>
        <v>DISH</v>
      </c>
      <c r="H608" s="1" t="str">
        <f>"REL19"</f>
        <v>REL19</v>
      </c>
      <c r="I608" s="1" t="str">
        <f>""</f>
        <v/>
      </c>
      <c r="J608" s="1" t="str">
        <f>"C55C"</f>
        <v>C55C</v>
      </c>
      <c r="K608" s="1" t="str">
        <f>"C55C"</f>
        <v>C55C</v>
      </c>
      <c r="L608" s="1" t="str">
        <f t="shared" si="199"/>
        <v>R</v>
      </c>
      <c r="M608" s="1" t="str">
        <f>"T10"</f>
        <v>T10</v>
      </c>
      <c r="N608" s="1" t="str">
        <f t="shared" si="210"/>
        <v>Y</v>
      </c>
      <c r="O608" s="1" t="str">
        <f t="shared" si="207"/>
        <v>Y</v>
      </c>
      <c r="P608" s="1" t="str">
        <f t="shared" si="200"/>
        <v>Y</v>
      </c>
      <c r="Q608" s="1" t="str">
        <f>"L"</f>
        <v>L</v>
      </c>
    </row>
    <row r="609" spans="1:17" x14ac:dyDescent="0.3">
      <c r="A609" s="1" t="str">
        <f t="shared" si="211"/>
        <v>C2</v>
      </c>
      <c r="B609" s="1" t="str">
        <f>"AAC201R"</f>
        <v>AAC201R</v>
      </c>
      <c r="C609" s="1" t="str">
        <f>"청력저하(우측)"</f>
        <v>청력저하(우측)</v>
      </c>
      <c r="D609" s="1" t="str">
        <f>"청력저하 소견 보입니다. 생활에 불편시 이비인후과 진료 요합니다."</f>
        <v>청력저하 소견 보입니다. 생활에 불편시 이비인후과 진료 요합니다.</v>
      </c>
      <c r="E609" s="1" t="str">
        <f t="shared" si="196"/>
        <v>WOK02</v>
      </c>
      <c r="F609" s="1" t="str">
        <f t="shared" si="208"/>
        <v>PTM01</v>
      </c>
      <c r="G609" s="1" t="str">
        <f>"DISH"</f>
        <v>DISH</v>
      </c>
      <c r="H609" s="1" t="str">
        <f>"REL19"</f>
        <v>REL19</v>
      </c>
      <c r="I609" s="1" t="str">
        <f>""</f>
        <v/>
      </c>
      <c r="J609" s="1" t="str">
        <f>"C55C"</f>
        <v>C55C</v>
      </c>
      <c r="K609" s="1" t="str">
        <f>"C55C"</f>
        <v>C55C</v>
      </c>
      <c r="L609" s="1" t="str">
        <f t="shared" si="199"/>
        <v>R</v>
      </c>
      <c r="M609" s="1" t="str">
        <f>"T10"</f>
        <v>T10</v>
      </c>
      <c r="N609" s="1" t="str">
        <f t="shared" si="210"/>
        <v>Y</v>
      </c>
      <c r="O609" s="1" t="str">
        <f t="shared" si="207"/>
        <v>Y</v>
      </c>
      <c r="P609" s="1" t="str">
        <f t="shared" si="200"/>
        <v>Y</v>
      </c>
      <c r="Q609" s="1" t="str">
        <f>"R"</f>
        <v>R</v>
      </c>
    </row>
    <row r="610" spans="1:17" x14ac:dyDescent="0.3">
      <c r="A610" s="1" t="str">
        <f t="shared" si="211"/>
        <v>C2</v>
      </c>
      <c r="B610" s="1" t="str">
        <f>"ADD301"</f>
        <v>ADD301</v>
      </c>
      <c r="C610" s="1" t="str">
        <f>"아밀라아제 상승"</f>
        <v>아밀라아제 상승</v>
      </c>
      <c r="D610" s="1" t="str">
        <f>"관련 증상(복통 등) 있을시 췌장염에 대한 정밀검사 받으시고  증상 없을시 추적검사 받으시기 바랍니다."</f>
        <v>관련 증상(복통 등) 있을시 췌장염에 대한 정밀검사 받으시고  증상 없을시 추적검사 받으시기 바랍니다.</v>
      </c>
      <c r="E610" s="1" t="str">
        <f t="shared" si="196"/>
        <v>WOK02</v>
      </c>
      <c r="F610" s="1" t="str">
        <f t="shared" si="208"/>
        <v>PTM01</v>
      </c>
      <c r="G610" s="1" t="str">
        <f>"DISK"</f>
        <v>DISK</v>
      </c>
      <c r="H610" s="1" t="str">
        <f>"REL05"</f>
        <v>REL05</v>
      </c>
      <c r="I610" s="1" t="str">
        <f>""</f>
        <v/>
      </c>
      <c r="J610" s="1" t="str">
        <f>"C41C"</f>
        <v>C41C</v>
      </c>
      <c r="K610" s="1" t="str">
        <f>"C41C"</f>
        <v>C41C</v>
      </c>
      <c r="L610" s="1" t="str">
        <f t="shared" si="199"/>
        <v>R</v>
      </c>
      <c r="M610" s="1" t="str">
        <f>"T02"</f>
        <v>T02</v>
      </c>
      <c r="N610" s="1" t="str">
        <f t="shared" si="210"/>
        <v>Y</v>
      </c>
      <c r="O610" s="1" t="str">
        <f t="shared" si="207"/>
        <v>Y</v>
      </c>
      <c r="P610" s="1" t="str">
        <f t="shared" si="200"/>
        <v>Y</v>
      </c>
      <c r="Q610" s="1" t="str">
        <f t="shared" ref="Q610:Q673" si="212">"A"</f>
        <v>A</v>
      </c>
    </row>
    <row r="611" spans="1:17" x14ac:dyDescent="0.3">
      <c r="A611" s="1" t="str">
        <f t="shared" si="211"/>
        <v>C2</v>
      </c>
      <c r="B611" s="1" t="str">
        <f>"ANELT2"</f>
        <v>ANELT2</v>
      </c>
      <c r="C611" s="1" t="str">
        <f>"혈색소수치 상승"</f>
        <v>혈색소수치 상승</v>
      </c>
      <c r="D611" s="1" t="str">
        <f>"혈액검사에서 혈색소가 증가하였습니다. 일시적인 현상에 의해 증가하는 경우도 있습니다. 3개월 뒤에 추적관찰 바랍니다."</f>
        <v>혈액검사에서 혈색소가 증가하였습니다. 일시적인 현상에 의해 증가하는 경우도 있습니다. 3개월 뒤에 추적관찰 바랍니다.</v>
      </c>
      <c r="E611" s="1" t="str">
        <f t="shared" si="196"/>
        <v>WOK02</v>
      </c>
      <c r="F611" s="1" t="str">
        <f>"PTM033"</f>
        <v>PTM033</v>
      </c>
      <c r="G611" s="1" t="str">
        <f>"DISD"</f>
        <v>DISD</v>
      </c>
      <c r="H611" s="1" t="str">
        <f>"REL12"</f>
        <v>REL12</v>
      </c>
      <c r="I611" s="1" t="str">
        <f>""</f>
        <v/>
      </c>
      <c r="J611" s="1" t="str">
        <f>"C34C"</f>
        <v>C34C</v>
      </c>
      <c r="K611" s="1" t="str">
        <f>"C34C"</f>
        <v>C34C</v>
      </c>
      <c r="L611" s="1" t="str">
        <f t="shared" si="199"/>
        <v>R</v>
      </c>
      <c r="M611" s="1" t="str">
        <f>"T01"</f>
        <v>T01</v>
      </c>
      <c r="N611" s="1" t="str">
        <f t="shared" si="210"/>
        <v>Y</v>
      </c>
      <c r="O611" s="1" t="str">
        <f t="shared" si="207"/>
        <v>Y</v>
      </c>
      <c r="P611" s="1" t="str">
        <f t="shared" si="200"/>
        <v>Y</v>
      </c>
      <c r="Q611" s="1" t="str">
        <f t="shared" si="212"/>
        <v>A</v>
      </c>
    </row>
    <row r="612" spans="1:17" x14ac:dyDescent="0.3">
      <c r="A612" s="1" t="str">
        <f t="shared" si="211"/>
        <v>C2</v>
      </c>
      <c r="B612" s="1" t="str">
        <f>"ANELT3"</f>
        <v>ANELT3</v>
      </c>
      <c r="C612" s="1" t="str">
        <f>"빈혈주의"</f>
        <v>빈혈주의</v>
      </c>
      <c r="D612" s="1" t="str">
        <f>"철분과 단백질이 풍부한 음식을 섭취하시고 유기화합물 취급 업무시 보호구착용을 하세요."</f>
        <v>철분과 단백질이 풍부한 음식을 섭취하시고 유기화합물 취급 업무시 보호구착용을 하세요.</v>
      </c>
      <c r="E612" s="1" t="str">
        <f t="shared" si="196"/>
        <v>WOK02</v>
      </c>
      <c r="F612" s="1" t="str">
        <f>"PTM01"</f>
        <v>PTM01</v>
      </c>
      <c r="G612" s="1" t="str">
        <f>"DISD"</f>
        <v>DISD</v>
      </c>
      <c r="H612" s="1" t="str">
        <f>"REL12"</f>
        <v>REL12</v>
      </c>
      <c r="I612" s="1" t="str">
        <f>""</f>
        <v/>
      </c>
      <c r="J612" s="1" t="str">
        <f t="shared" ref="J612:K614" si="213">"C08C"</f>
        <v>C08C</v>
      </c>
      <c r="K612" s="1" t="str">
        <f t="shared" si="213"/>
        <v>C08C</v>
      </c>
      <c r="L612" s="1" t="str">
        <f t="shared" si="199"/>
        <v>R</v>
      </c>
      <c r="M612" s="1" t="str">
        <f>"T01"</f>
        <v>T01</v>
      </c>
      <c r="N612" s="1" t="str">
        <f t="shared" si="210"/>
        <v>Y</v>
      </c>
      <c r="O612" s="1" t="str">
        <f t="shared" si="207"/>
        <v>Y</v>
      </c>
      <c r="P612" s="1" t="str">
        <f t="shared" si="200"/>
        <v>Y</v>
      </c>
      <c r="Q612" s="1" t="str">
        <f t="shared" si="212"/>
        <v>A</v>
      </c>
    </row>
    <row r="613" spans="1:17" x14ac:dyDescent="0.3">
      <c r="A613" s="1" t="str">
        <f t="shared" si="211"/>
        <v>C2</v>
      </c>
      <c r="B613" s="1" t="str">
        <f>"ANELT5"</f>
        <v>ANELT5</v>
      </c>
      <c r="C613" s="1" t="str">
        <f>"빈혈주의"</f>
        <v>빈혈주의</v>
      </c>
      <c r="D613" s="1" t="str">
        <f>"철분과 단백질이 풍부한 음식을 섭취하시고 주기적인 빈혈 추적검사 요합니다."</f>
        <v>철분과 단백질이 풍부한 음식을 섭취하시고 주기적인 빈혈 추적검사 요합니다.</v>
      </c>
      <c r="E613" s="1" t="str">
        <f t="shared" si="196"/>
        <v>WOK02</v>
      </c>
      <c r="F613" s="1" t="str">
        <f>"PTM01"</f>
        <v>PTM01</v>
      </c>
      <c r="G613" s="1" t="str">
        <f>"DISD"</f>
        <v>DISD</v>
      </c>
      <c r="H613" s="1" t="str">
        <f>"REL12"</f>
        <v>REL12</v>
      </c>
      <c r="I613" s="1" t="str">
        <f>""</f>
        <v/>
      </c>
      <c r="J613" s="1" t="str">
        <f t="shared" si="213"/>
        <v>C08C</v>
      </c>
      <c r="K613" s="1" t="str">
        <f t="shared" si="213"/>
        <v>C08C</v>
      </c>
      <c r="L613" s="1" t="str">
        <f t="shared" si="199"/>
        <v>R</v>
      </c>
      <c r="M613" s="1" t="str">
        <f>"T01"</f>
        <v>T01</v>
      </c>
      <c r="N613" s="1" t="str">
        <f t="shared" si="210"/>
        <v>Y</v>
      </c>
      <c r="O613" s="1" t="str">
        <f t="shared" si="207"/>
        <v>Y</v>
      </c>
      <c r="P613" s="1" t="str">
        <f t="shared" si="200"/>
        <v>Y</v>
      </c>
      <c r="Q613" s="1" t="str">
        <f t="shared" si="212"/>
        <v>A</v>
      </c>
    </row>
    <row r="614" spans="1:17" x14ac:dyDescent="0.3">
      <c r="A614" s="1" t="str">
        <f t="shared" si="211"/>
        <v>C2</v>
      </c>
      <c r="B614" s="1" t="str">
        <f>"ANELT51"</f>
        <v>ANELT51</v>
      </c>
      <c r="C614" s="1" t="str">
        <f>"빈혈주의"</f>
        <v>빈혈주의</v>
      </c>
      <c r="D614" s="1" t="str">
        <f>"경미한 빈혈 소견이 보입니다. 일시적인 생리적 현상일 수도 있으나 체내 잠복 출혈에 의한 것일 수도 있습니다. 1개월 후 혈액검사를 다시 받아보십시오."</f>
        <v>경미한 빈혈 소견이 보입니다. 일시적인 생리적 현상일 수도 있으나 체내 잠복 출혈에 의한 것일 수도 있습니다. 1개월 후 혈액검사를 다시 받아보십시오.</v>
      </c>
      <c r="E614" s="1" t="str">
        <f t="shared" si="196"/>
        <v>WOK02</v>
      </c>
      <c r="F614" s="1" t="str">
        <f>"PTM01"</f>
        <v>PTM01</v>
      </c>
      <c r="G614" s="1" t="str">
        <f>"DISD"</f>
        <v>DISD</v>
      </c>
      <c r="H614" s="1" t="str">
        <f>"REL12"</f>
        <v>REL12</v>
      </c>
      <c r="I614" s="1" t="str">
        <f>""</f>
        <v/>
      </c>
      <c r="J614" s="1" t="str">
        <f t="shared" si="213"/>
        <v>C08C</v>
      </c>
      <c r="K614" s="1" t="str">
        <f t="shared" si="213"/>
        <v>C08C</v>
      </c>
      <c r="L614" s="1" t="str">
        <f t="shared" si="199"/>
        <v>R</v>
      </c>
      <c r="M614" s="1" t="str">
        <f>"T01"</f>
        <v>T01</v>
      </c>
      <c r="N614" s="1" t="str">
        <f t="shared" si="210"/>
        <v>Y</v>
      </c>
      <c r="O614" s="1" t="str">
        <f t="shared" si="207"/>
        <v>Y</v>
      </c>
      <c r="P614" s="1" t="str">
        <f t="shared" si="200"/>
        <v>Y</v>
      </c>
      <c r="Q614" s="1" t="str">
        <f t="shared" si="212"/>
        <v>A</v>
      </c>
    </row>
    <row r="615" spans="1:17" x14ac:dyDescent="0.3">
      <c r="A615" s="1" t="str">
        <f t="shared" si="211"/>
        <v>C2</v>
      </c>
      <c r="B615" s="1" t="str">
        <f>"ASM301"</f>
        <v>ASM301</v>
      </c>
      <c r="C615" s="1" t="str">
        <f>"천식주의(업무관련)"</f>
        <v>천식주의(업무관련)</v>
      </c>
      <c r="D615" s="1" t="str">
        <f>"천식증상이 있으므로 원인물질 노출을 피하시고 증상이 심하면 치료를 받으세요"</f>
        <v>천식증상이 있으므로 원인물질 노출을 피하시고 증상이 심하면 치료를 받으세요</v>
      </c>
      <c r="E615" s="1" t="str">
        <f t="shared" si="196"/>
        <v>WOK02</v>
      </c>
      <c r="F615" s="1" t="str">
        <f>"PTM03"</f>
        <v>PTM03</v>
      </c>
      <c r="G615" s="1" t="str">
        <f>"DISJ"</f>
        <v>DISJ</v>
      </c>
      <c r="H615" s="1" t="str">
        <f>"REL15"</f>
        <v>REL15</v>
      </c>
      <c r="I615" s="1" t="str">
        <f>""</f>
        <v/>
      </c>
      <c r="J615" s="1" t="str">
        <f>"C40C"</f>
        <v>C40C</v>
      </c>
      <c r="K615" s="1" t="str">
        <f>"C40C"</f>
        <v>C40C</v>
      </c>
      <c r="L615" s="1" t="str">
        <f t="shared" si="199"/>
        <v>R</v>
      </c>
      <c r="M615" s="1" t="str">
        <f>"T04"</f>
        <v>T04</v>
      </c>
      <c r="N615" s="1" t="str">
        <f t="shared" si="210"/>
        <v>Y</v>
      </c>
      <c r="O615" s="1" t="str">
        <f t="shared" si="207"/>
        <v>Y</v>
      </c>
      <c r="P615" s="1" t="str">
        <f t="shared" si="200"/>
        <v>Y</v>
      </c>
      <c r="Q615" s="1" t="str">
        <f t="shared" si="212"/>
        <v>A</v>
      </c>
    </row>
    <row r="616" spans="1:17" x14ac:dyDescent="0.3">
      <c r="A616" s="1" t="str">
        <f t="shared" si="211"/>
        <v>C2</v>
      </c>
      <c r="B616" s="1" t="str">
        <f>"ASM302"</f>
        <v>ASM302</v>
      </c>
      <c r="C616" s="1" t="str">
        <f>"천식주의"</f>
        <v>천식주의</v>
      </c>
      <c r="D616" s="1" t="str">
        <f>"천식증상이 있으나 업무관련성은 약한 것 같습니다. 천식증상에 대한 진료를 받으세요."</f>
        <v>천식증상이 있으나 업무관련성은 약한 것 같습니다. 천식증상에 대한 진료를 받으세요.</v>
      </c>
      <c r="E616" s="1" t="str">
        <f t="shared" si="196"/>
        <v>WOK02</v>
      </c>
      <c r="F616" s="1" t="str">
        <f>"PTM03"</f>
        <v>PTM03</v>
      </c>
      <c r="G616" s="1" t="str">
        <f>"DISJ"</f>
        <v>DISJ</v>
      </c>
      <c r="H616" s="1" t="str">
        <f>"REL15"</f>
        <v>REL15</v>
      </c>
      <c r="I616" s="1" t="str">
        <f>""</f>
        <v/>
      </c>
      <c r="J616" s="1" t="str">
        <f>"C40C"</f>
        <v>C40C</v>
      </c>
      <c r="K616" s="1" t="str">
        <f>"C40C"</f>
        <v>C40C</v>
      </c>
      <c r="L616" s="1" t="str">
        <f t="shared" si="199"/>
        <v>R</v>
      </c>
      <c r="M616" s="1" t="str">
        <f>"T04"</f>
        <v>T04</v>
      </c>
      <c r="N616" s="1" t="str">
        <f t="shared" si="210"/>
        <v>Y</v>
      </c>
      <c r="O616" s="1" t="str">
        <f t="shared" si="207"/>
        <v>Y</v>
      </c>
      <c r="P616" s="1" t="str">
        <f t="shared" si="200"/>
        <v>Y</v>
      </c>
      <c r="Q616" s="1" t="str">
        <f t="shared" si="212"/>
        <v>A</v>
      </c>
    </row>
    <row r="617" spans="1:17" x14ac:dyDescent="0.3">
      <c r="A617" s="1" t="str">
        <f t="shared" si="211"/>
        <v>C2</v>
      </c>
      <c r="B617" s="1" t="str">
        <f>"B130601"</f>
        <v>B130601</v>
      </c>
      <c r="C617" s="1" t="str">
        <f>"당뇨병 주의"</f>
        <v>당뇨병 주의</v>
      </c>
      <c r="D617" s="1" t="str">
        <f>"소변검사에서 요당이 검출됩니다. 당뇨병 등 질환에 의한 증상일 가능성이 높습니다. 내과 또는 가정의학과 진료 바랍니다."</f>
        <v>소변검사에서 요당이 검출됩니다. 당뇨병 등 질환에 의한 증상일 가능성이 높습니다. 내과 또는 가정의학과 진료 바랍니다.</v>
      </c>
      <c r="E617" s="1" t="str">
        <f t="shared" si="196"/>
        <v>WOK02</v>
      </c>
      <c r="F617" s="1" t="str">
        <f>"PTM03"</f>
        <v>PTM03</v>
      </c>
      <c r="G617" s="1" t="str">
        <f>"DISE"</f>
        <v>DISE</v>
      </c>
      <c r="H617" s="1" t="str">
        <f>"REL23"</f>
        <v>REL23</v>
      </c>
      <c r="I617" s="1" t="str">
        <f>""</f>
        <v/>
      </c>
      <c r="J617" s="1" t="str">
        <f>"C06C"</f>
        <v>C06C</v>
      </c>
      <c r="K617" s="1" t="str">
        <f>"C06C"</f>
        <v>C06C</v>
      </c>
      <c r="L617" s="1" t="str">
        <f t="shared" si="199"/>
        <v>R</v>
      </c>
      <c r="M617" s="1" t="str">
        <f>"T05"</f>
        <v>T05</v>
      </c>
      <c r="N617" s="1" t="str">
        <f t="shared" si="210"/>
        <v>Y</v>
      </c>
      <c r="O617" s="1" t="str">
        <f t="shared" si="207"/>
        <v>Y</v>
      </c>
      <c r="P617" s="1" t="str">
        <f t="shared" si="200"/>
        <v>Y</v>
      </c>
      <c r="Q617" s="1" t="str">
        <f t="shared" si="212"/>
        <v>A</v>
      </c>
    </row>
    <row r="618" spans="1:17" x14ac:dyDescent="0.3">
      <c r="A618" s="1" t="str">
        <f t="shared" si="211"/>
        <v>C2</v>
      </c>
      <c r="B618" s="1" t="str">
        <f>"B131002"</f>
        <v>B131002</v>
      </c>
      <c r="C618" s="1" t="str">
        <f>"빈혈"</f>
        <v>빈혈</v>
      </c>
      <c r="D618" s="1" t="str">
        <f>"혈액검사에서 빈혈(혈색소수치가 정상범위보다 감소한 상태)이 있습니다. 빈혈의 원인규명과 치료를 위해 내원하시기 바랍니다."</f>
        <v>혈액검사에서 빈혈(혈색소수치가 정상범위보다 감소한 상태)이 있습니다. 빈혈의 원인규명과 치료를 위해 내원하시기 바랍니다.</v>
      </c>
      <c r="E618" s="1" t="str">
        <f t="shared" si="196"/>
        <v>WOK02</v>
      </c>
      <c r="F618" s="1" t="str">
        <f>""</f>
        <v/>
      </c>
      <c r="G618" s="1" t="str">
        <f>"DISD"</f>
        <v>DISD</v>
      </c>
      <c r="H618" s="1" t="str">
        <f>"REL12"</f>
        <v>REL12</v>
      </c>
      <c r="I618" s="1" t="str">
        <f>""</f>
        <v/>
      </c>
      <c r="J618" s="1" t="str">
        <f>"C08C"</f>
        <v>C08C</v>
      </c>
      <c r="K618" s="1" t="str">
        <f>"C08C"</f>
        <v>C08C</v>
      </c>
      <c r="L618" s="1" t="str">
        <f t="shared" si="199"/>
        <v>R</v>
      </c>
      <c r="M618" s="1" t="str">
        <f>"T01"</f>
        <v>T01</v>
      </c>
      <c r="N618" s="1" t="str">
        <f t="shared" si="210"/>
        <v>Y</v>
      </c>
      <c r="O618" s="1" t="str">
        <f t="shared" si="207"/>
        <v>Y</v>
      </c>
      <c r="P618" s="1" t="str">
        <f t="shared" si="200"/>
        <v>Y</v>
      </c>
      <c r="Q618" s="1" t="str">
        <f t="shared" si="212"/>
        <v>A</v>
      </c>
    </row>
    <row r="619" spans="1:17" x14ac:dyDescent="0.3">
      <c r="A619" s="1" t="str">
        <f t="shared" si="211"/>
        <v>C2</v>
      </c>
      <c r="B619" s="1" t="str">
        <f>"B131003"</f>
        <v>B131003</v>
      </c>
      <c r="C619" s="1" t="str">
        <f>"혈색소증가"</f>
        <v>혈색소증가</v>
      </c>
      <c r="D619" s="1" t="str">
        <f>"혈액검사에서 혈색소가 증가하였습니다. 혈액질환이 있을 경우 혈색소가 증가할 수 있으나 탈수에 따른 혈액농축이나 기타 일시적인 현상에 의해 증가하는 경우도 있습니다. 3개월 이내에 다시 검사를 받아보실 것을 권합니다."</f>
        <v>혈액검사에서 혈색소가 증가하였습니다. 혈액질환이 있을 경우 혈색소가 증가할 수 있으나 탈수에 따른 혈액농축이나 기타 일시적인 현상에 의해 증가하는 경우도 있습니다. 3개월 이내에 다시 검사를 받아보실 것을 권합니다.</v>
      </c>
      <c r="E619" s="1" t="str">
        <f t="shared" si="196"/>
        <v>WOK02</v>
      </c>
      <c r="F619" s="1" t="str">
        <f>"PTM033"</f>
        <v>PTM033</v>
      </c>
      <c r="G619" s="1" t="str">
        <f>"DISD"</f>
        <v>DISD</v>
      </c>
      <c r="H619" s="1" t="str">
        <f>"REL12"</f>
        <v>REL12</v>
      </c>
      <c r="I619" s="1" t="str">
        <f>""</f>
        <v/>
      </c>
      <c r="J619" s="1" t="str">
        <f>"C34C"</f>
        <v>C34C</v>
      </c>
      <c r="K619" s="1" t="str">
        <f>"C34C"</f>
        <v>C34C</v>
      </c>
      <c r="L619" s="1" t="str">
        <f t="shared" si="199"/>
        <v>R</v>
      </c>
      <c r="M619" s="1" t="str">
        <f>"T01"</f>
        <v>T01</v>
      </c>
      <c r="N619" s="1" t="str">
        <f t="shared" si="210"/>
        <v>Y</v>
      </c>
      <c r="O619" s="1" t="str">
        <f t="shared" si="207"/>
        <v>Y</v>
      </c>
      <c r="P619" s="1" t="str">
        <f t="shared" si="200"/>
        <v>Y</v>
      </c>
      <c r="Q619" s="1" t="str">
        <f t="shared" si="212"/>
        <v>A</v>
      </c>
    </row>
    <row r="620" spans="1:17" x14ac:dyDescent="0.3">
      <c r="A620" s="1" t="str">
        <f t="shared" si="211"/>
        <v>C2</v>
      </c>
      <c r="B620" s="1" t="str">
        <f>"B271002"</f>
        <v>B271002</v>
      </c>
      <c r="C620" s="1" t="str">
        <f>"간질환의심"</f>
        <v>간질환의심</v>
      </c>
      <c r="D620" s="1" t="str">
        <f>"간기능검사에서 혈액내 감마 지티피(r-GTP)가 증가하였습니다. 음주를 많이하는 경우 지나친 음주를 삼가하시고 원인에 따른 치료를 위해 소화기내과 진료를 받아보시기 바랍니다."</f>
        <v>간기능검사에서 혈액내 감마 지티피(r-GTP)가 증가하였습니다. 음주를 많이하는 경우 지나친 음주를 삼가하시고 원인에 따른 치료를 위해 소화기내과 진료를 받아보시기 바랍니다.</v>
      </c>
      <c r="E620" s="1" t="str">
        <f>""</f>
        <v/>
      </c>
      <c r="F620" s="1" t="str">
        <f>""</f>
        <v/>
      </c>
      <c r="G620" s="1" t="str">
        <f>""</f>
        <v/>
      </c>
      <c r="H620" s="1" t="str">
        <f>""</f>
        <v/>
      </c>
      <c r="I620" s="1" t="str">
        <f>""</f>
        <v/>
      </c>
      <c r="J620" s="1" t="str">
        <f>""</f>
        <v/>
      </c>
      <c r="K620" s="1" t="str">
        <f>""</f>
        <v/>
      </c>
      <c r="L620" s="1" t="str">
        <f t="shared" si="199"/>
        <v>R</v>
      </c>
      <c r="M620" s="1" t="str">
        <f>""</f>
        <v/>
      </c>
      <c r="N620" s="1" t="str">
        <f t="shared" si="210"/>
        <v>Y</v>
      </c>
      <c r="O620" s="1" t="str">
        <f t="shared" si="207"/>
        <v>Y</v>
      </c>
      <c r="P620" s="1" t="str">
        <f t="shared" si="200"/>
        <v>Y</v>
      </c>
      <c r="Q620" s="1" t="str">
        <f t="shared" si="212"/>
        <v>A</v>
      </c>
    </row>
    <row r="621" spans="1:17" x14ac:dyDescent="0.3">
      <c r="A621" s="1" t="str">
        <f t="shared" si="211"/>
        <v>C2</v>
      </c>
      <c r="B621" s="1" t="str">
        <f>"B271003"</f>
        <v>B271003</v>
      </c>
      <c r="C621" s="1" t="str">
        <f>"간수치 상승 소견"</f>
        <v>간수치 상승 소견</v>
      </c>
      <c r="D621" s="1" t="s">
        <v>187</v>
      </c>
      <c r="E621" s="1" t="str">
        <f>"WOK02"</f>
        <v>WOK02</v>
      </c>
      <c r="F621" s="1" t="str">
        <f>"PTM03"</f>
        <v>PTM03</v>
      </c>
      <c r="G621" s="1" t="str">
        <f>"DISK"</f>
        <v>DISK</v>
      </c>
      <c r="H621" s="1" t="str">
        <f>"REL05"</f>
        <v>REL05</v>
      </c>
      <c r="I621" s="1" t="str">
        <f>""</f>
        <v/>
      </c>
      <c r="J621" s="1" t="str">
        <f>"C05C"</f>
        <v>C05C</v>
      </c>
      <c r="K621" s="1" t="str">
        <f>"C05C"</f>
        <v>C05C</v>
      </c>
      <c r="L621" s="1" t="str">
        <f t="shared" si="199"/>
        <v>R</v>
      </c>
      <c r="M621" s="1" t="str">
        <f>"T02"</f>
        <v>T02</v>
      </c>
      <c r="N621" s="1" t="str">
        <f t="shared" si="210"/>
        <v>Y</v>
      </c>
      <c r="O621" s="1" t="str">
        <f t="shared" si="207"/>
        <v>Y</v>
      </c>
      <c r="P621" s="1" t="str">
        <f t="shared" si="200"/>
        <v>Y</v>
      </c>
      <c r="Q621" s="1" t="str">
        <f t="shared" si="212"/>
        <v>A</v>
      </c>
    </row>
    <row r="622" spans="1:17" x14ac:dyDescent="0.3">
      <c r="A622" s="1" t="str">
        <f t="shared" si="211"/>
        <v>C2</v>
      </c>
      <c r="B622" s="1" t="str">
        <f>"B487201"</f>
        <v>B487201</v>
      </c>
      <c r="C622" s="1" t="str">
        <f>"C형간염 의심"</f>
        <v>C형간염 의심</v>
      </c>
      <c r="D622" s="1" t="str">
        <f>"C형 간염검사에서 양성으로 나와 C형 간염이 의심됩니다. 내원하여 상담 바랍니다."</f>
        <v>C형 간염검사에서 양성으로 나와 C형 간염이 의심됩니다. 내원하여 상담 바랍니다.</v>
      </c>
      <c r="E622" s="1" t="str">
        <f>""</f>
        <v/>
      </c>
      <c r="F622" s="1" t="str">
        <f>""</f>
        <v/>
      </c>
      <c r="G622" s="1" t="str">
        <f>""</f>
        <v/>
      </c>
      <c r="H622" s="1" t="str">
        <f>""</f>
        <v/>
      </c>
      <c r="I622" s="1" t="str">
        <f>""</f>
        <v/>
      </c>
      <c r="J622" s="1" t="str">
        <f>"C05C"</f>
        <v>C05C</v>
      </c>
      <c r="K622" s="1" t="str">
        <f>"C05D"</f>
        <v>C05D</v>
      </c>
      <c r="L622" s="1" t="str">
        <f t="shared" si="199"/>
        <v>R</v>
      </c>
      <c r="M622" s="1" t="str">
        <f>""</f>
        <v/>
      </c>
      <c r="N622" s="1" t="str">
        <f t="shared" si="210"/>
        <v>Y</v>
      </c>
      <c r="O622" s="1" t="str">
        <f t="shared" si="207"/>
        <v>Y</v>
      </c>
      <c r="P622" s="1" t="str">
        <f t="shared" si="200"/>
        <v>Y</v>
      </c>
      <c r="Q622" s="1" t="str">
        <f t="shared" si="212"/>
        <v>A</v>
      </c>
    </row>
    <row r="623" spans="1:17" x14ac:dyDescent="0.3">
      <c r="A623" s="1" t="str">
        <f t="shared" si="211"/>
        <v>C2</v>
      </c>
      <c r="B623" s="1" t="str">
        <f>"CFSD002"</f>
        <v>CFSD002</v>
      </c>
      <c r="C623" s="1" t="str">
        <f>"치핵"</f>
        <v>치핵</v>
      </c>
      <c r="D623" s="1" t="s">
        <v>188</v>
      </c>
      <c r="E623" s="1" t="str">
        <f t="shared" ref="E623:E686" si="214">"WOK02"</f>
        <v>WOK02</v>
      </c>
      <c r="F623" s="1" t="str">
        <f t="shared" ref="F623:F640" si="215">"PTM04"</f>
        <v>PTM04</v>
      </c>
      <c r="G623" s="1" t="str">
        <f>""</f>
        <v/>
      </c>
      <c r="H623" s="1" t="str">
        <f t="shared" ref="H623:H640" si="216">"REL37"</f>
        <v>REL37</v>
      </c>
      <c r="I623" s="1" t="str">
        <f>""</f>
        <v/>
      </c>
      <c r="J623" s="1" t="str">
        <f>""</f>
        <v/>
      </c>
      <c r="K623" s="1" t="str">
        <f>""</f>
        <v/>
      </c>
      <c r="L623" s="1" t="str">
        <f t="shared" si="199"/>
        <v>R</v>
      </c>
      <c r="M623" s="1" t="str">
        <f t="shared" ref="M623:M640" si="217">"T20"</f>
        <v>T20</v>
      </c>
      <c r="N623" s="1" t="str">
        <f t="shared" si="210"/>
        <v>Y</v>
      </c>
      <c r="O623" s="1" t="str">
        <f t="shared" si="207"/>
        <v>Y</v>
      </c>
      <c r="P623" s="1" t="str">
        <f t="shared" si="200"/>
        <v>Y</v>
      </c>
      <c r="Q623" s="1" t="str">
        <f t="shared" si="212"/>
        <v>A</v>
      </c>
    </row>
    <row r="624" spans="1:17" x14ac:dyDescent="0.3">
      <c r="A624" s="1" t="str">
        <f t="shared" si="211"/>
        <v>C2</v>
      </c>
      <c r="B624" s="1" t="str">
        <f>"CFSD003"</f>
        <v>CFSD003</v>
      </c>
      <c r="C624" s="1" t="str">
        <f>"장정결(장비움) 불완전"</f>
        <v>장정결(장비움) 불완전</v>
      </c>
      <c r="D624" s="1" t="s">
        <v>189</v>
      </c>
      <c r="E624" s="1" t="str">
        <f t="shared" si="214"/>
        <v>WOK02</v>
      </c>
      <c r="F624" s="1" t="str">
        <f t="shared" si="215"/>
        <v>PTM04</v>
      </c>
      <c r="G624" s="1" t="str">
        <f>""</f>
        <v/>
      </c>
      <c r="H624" s="1" t="str">
        <f t="shared" si="216"/>
        <v>REL37</v>
      </c>
      <c r="I624" s="1" t="str">
        <f>""</f>
        <v/>
      </c>
      <c r="J624" s="1" t="str">
        <f>""</f>
        <v/>
      </c>
      <c r="K624" s="1" t="str">
        <f>""</f>
        <v/>
      </c>
      <c r="L624" s="1" t="str">
        <f t="shared" si="199"/>
        <v>R</v>
      </c>
      <c r="M624" s="1" t="str">
        <f t="shared" si="217"/>
        <v>T20</v>
      </c>
      <c r="N624" s="1" t="str">
        <f t="shared" si="210"/>
        <v>Y</v>
      </c>
      <c r="O624" s="1" t="str">
        <f t="shared" si="207"/>
        <v>Y</v>
      </c>
      <c r="P624" s="1" t="str">
        <f t="shared" si="200"/>
        <v>Y</v>
      </c>
      <c r="Q624" s="1" t="str">
        <f t="shared" si="212"/>
        <v>A</v>
      </c>
    </row>
    <row r="625" spans="1:17" x14ac:dyDescent="0.3">
      <c r="A625" s="1" t="str">
        <f t="shared" si="211"/>
        <v>C2</v>
      </c>
      <c r="B625" s="1" t="str">
        <f>"CFSD004"</f>
        <v>CFSD004</v>
      </c>
      <c r="C625" s="1" t="str">
        <f>"대장 흑색증"</f>
        <v>대장 흑색증</v>
      </c>
      <c r="D625" s="1" t="str">
        <f>"▶대장내시경 검사에서 장상피의 흑색 변조 관찰됩니다. 이는 대부분 알로에나 자극성 하제를 오랫동안 사용한 경우에 보이는 소견 입니다. 흑색증 자체는 양성소견입니다. 변비가 있을 경우 의사의 처방을 받아 비자극성 변비약을 사용하시기 바랍니다."</f>
        <v>▶대장내시경 검사에서 장상피의 흑색 변조 관찰됩니다. 이는 대부분 알로에나 자극성 하제를 오랫동안 사용한 경우에 보이는 소견 입니다. 흑색증 자체는 양성소견입니다. 변비가 있을 경우 의사의 처방을 받아 비자극성 변비약을 사용하시기 바랍니다.</v>
      </c>
      <c r="E625" s="1" t="str">
        <f t="shared" si="214"/>
        <v>WOK02</v>
      </c>
      <c r="F625" s="1" t="str">
        <f t="shared" si="215"/>
        <v>PTM04</v>
      </c>
      <c r="G625" s="1" t="str">
        <f>""</f>
        <v/>
      </c>
      <c r="H625" s="1" t="str">
        <f t="shared" si="216"/>
        <v>REL37</v>
      </c>
      <c r="I625" s="1" t="str">
        <f>""</f>
        <v/>
      </c>
      <c r="J625" s="1" t="str">
        <f>""</f>
        <v/>
      </c>
      <c r="K625" s="1" t="str">
        <f>""</f>
        <v/>
      </c>
      <c r="L625" s="1" t="str">
        <f t="shared" si="199"/>
        <v>R</v>
      </c>
      <c r="M625" s="1" t="str">
        <f t="shared" si="217"/>
        <v>T20</v>
      </c>
      <c r="N625" s="1" t="str">
        <f t="shared" si="210"/>
        <v>Y</v>
      </c>
      <c r="O625" s="1" t="str">
        <f t="shared" si="207"/>
        <v>Y</v>
      </c>
      <c r="P625" s="1" t="str">
        <f t="shared" si="200"/>
        <v>Y</v>
      </c>
      <c r="Q625" s="1" t="str">
        <f t="shared" si="212"/>
        <v>A</v>
      </c>
    </row>
    <row r="626" spans="1:17" x14ac:dyDescent="0.3">
      <c r="A626" s="1" t="str">
        <f t="shared" si="211"/>
        <v>C2</v>
      </c>
      <c r="B626" s="1" t="str">
        <f>"CFSD005"</f>
        <v>CFSD005</v>
      </c>
      <c r="C626" s="1" t="str">
        <f>"기타(직접기입)"</f>
        <v>기타(직접기입)</v>
      </c>
      <c r="D626" s="1" t="str">
        <f>"▶대장내시경 검사에서"</f>
        <v>▶대장내시경 검사에서</v>
      </c>
      <c r="E626" s="1" t="str">
        <f t="shared" si="214"/>
        <v>WOK02</v>
      </c>
      <c r="F626" s="1" t="str">
        <f t="shared" si="215"/>
        <v>PTM04</v>
      </c>
      <c r="G626" s="1" t="str">
        <f>""</f>
        <v/>
      </c>
      <c r="H626" s="1" t="str">
        <f t="shared" si="216"/>
        <v>REL37</v>
      </c>
      <c r="I626" s="1" t="str">
        <f>""</f>
        <v/>
      </c>
      <c r="J626" s="1" t="str">
        <f>""</f>
        <v/>
      </c>
      <c r="K626" s="1" t="str">
        <f>""</f>
        <v/>
      </c>
      <c r="L626" s="1" t="str">
        <f t="shared" si="199"/>
        <v>R</v>
      </c>
      <c r="M626" s="1" t="str">
        <f t="shared" si="217"/>
        <v>T20</v>
      </c>
      <c r="N626" s="1" t="str">
        <f t="shared" si="210"/>
        <v>Y</v>
      </c>
      <c r="O626" s="1" t="str">
        <f t="shared" si="207"/>
        <v>Y</v>
      </c>
      <c r="P626" s="1" t="str">
        <f t="shared" si="200"/>
        <v>Y</v>
      </c>
      <c r="Q626" s="1" t="str">
        <f t="shared" si="212"/>
        <v>A</v>
      </c>
    </row>
    <row r="627" spans="1:17" x14ac:dyDescent="0.3">
      <c r="A627" s="1" t="str">
        <f t="shared" si="211"/>
        <v>C2</v>
      </c>
      <c r="B627" s="1" t="str">
        <f>"CFSD006"</f>
        <v>CFSD006</v>
      </c>
      <c r="C627" s="1" t="str">
        <f>"크론씨병 의증"</f>
        <v>크론씨병 의증</v>
      </c>
      <c r="D627" s="1" t="str">
        <f>"▶대장내시경 검사에서 크론씨병 의심되는 소견입니다. 상담 및 치료 위해 소화기내과 진료를 받으시기 바랍니다."</f>
        <v>▶대장내시경 검사에서 크론씨병 의심되는 소견입니다. 상담 및 치료 위해 소화기내과 진료를 받으시기 바랍니다.</v>
      </c>
      <c r="E627" s="1" t="str">
        <f t="shared" si="214"/>
        <v>WOK02</v>
      </c>
      <c r="F627" s="1" t="str">
        <f t="shared" si="215"/>
        <v>PTM04</v>
      </c>
      <c r="G627" s="1" t="str">
        <f>""</f>
        <v/>
      </c>
      <c r="H627" s="1" t="str">
        <f t="shared" si="216"/>
        <v>REL37</v>
      </c>
      <c r="I627" s="1" t="str">
        <f>""</f>
        <v/>
      </c>
      <c r="J627" s="1" t="str">
        <f>""</f>
        <v/>
      </c>
      <c r="K627" s="1" t="str">
        <f>""</f>
        <v/>
      </c>
      <c r="L627" s="1" t="str">
        <f t="shared" si="199"/>
        <v>R</v>
      </c>
      <c r="M627" s="1" t="str">
        <f t="shared" si="217"/>
        <v>T20</v>
      </c>
      <c r="N627" s="1" t="str">
        <f t="shared" si="210"/>
        <v>Y</v>
      </c>
      <c r="O627" s="1" t="str">
        <f t="shared" si="207"/>
        <v>Y</v>
      </c>
      <c r="P627" s="1" t="str">
        <f t="shared" si="200"/>
        <v>Y</v>
      </c>
      <c r="Q627" s="1" t="str">
        <f t="shared" si="212"/>
        <v>A</v>
      </c>
    </row>
    <row r="628" spans="1:17" x14ac:dyDescent="0.3">
      <c r="A628" s="1" t="str">
        <f t="shared" si="211"/>
        <v>C2</v>
      </c>
      <c r="B628" s="1" t="str">
        <f>"CFSD009"</f>
        <v>CFSD009</v>
      </c>
      <c r="C628" s="1" t="str">
        <f>"지방종"</f>
        <v>지방종</v>
      </c>
      <c r="D628" s="1" t="s">
        <v>190</v>
      </c>
      <c r="E628" s="1" t="str">
        <f t="shared" si="214"/>
        <v>WOK02</v>
      </c>
      <c r="F628" s="1" t="str">
        <f t="shared" si="215"/>
        <v>PTM04</v>
      </c>
      <c r="G628" s="1" t="str">
        <f>""</f>
        <v/>
      </c>
      <c r="H628" s="1" t="str">
        <f t="shared" si="216"/>
        <v>REL37</v>
      </c>
      <c r="I628" s="1" t="str">
        <f>""</f>
        <v/>
      </c>
      <c r="J628" s="1" t="str">
        <f>""</f>
        <v/>
      </c>
      <c r="K628" s="1" t="str">
        <f>""</f>
        <v/>
      </c>
      <c r="L628" s="1" t="str">
        <f t="shared" si="199"/>
        <v>R</v>
      </c>
      <c r="M628" s="1" t="str">
        <f t="shared" si="217"/>
        <v>T20</v>
      </c>
      <c r="N628" s="1" t="str">
        <f t="shared" si="210"/>
        <v>Y</v>
      </c>
      <c r="O628" s="1" t="str">
        <f t="shared" si="207"/>
        <v>Y</v>
      </c>
      <c r="P628" s="1" t="str">
        <f t="shared" si="200"/>
        <v>Y</v>
      </c>
      <c r="Q628" s="1" t="str">
        <f t="shared" si="212"/>
        <v>A</v>
      </c>
    </row>
    <row r="629" spans="1:17" x14ac:dyDescent="0.3">
      <c r="A629" s="1" t="str">
        <f t="shared" si="211"/>
        <v>C2</v>
      </c>
      <c r="B629" s="1" t="str">
        <f>"CFSD011"</f>
        <v>CFSD011</v>
      </c>
      <c r="C629" s="1" t="str">
        <f>"대장 염증성 용종"</f>
        <v>대장 염증성 용종</v>
      </c>
      <c r="D629" s="1" t="str">
        <f>"▶대장내시경 검사에서 염증성 용종이 있습니다. 특별한 치료는 필요하지 않습니다. 경과관찰을 위해 2~3년 후 대장내시경 검사를 받으시기 바랍니다."</f>
        <v>▶대장내시경 검사에서 염증성 용종이 있습니다. 특별한 치료는 필요하지 않습니다. 경과관찰을 위해 2~3년 후 대장내시경 검사를 받으시기 바랍니다.</v>
      </c>
      <c r="E629" s="1" t="str">
        <f t="shared" si="214"/>
        <v>WOK02</v>
      </c>
      <c r="F629" s="1" t="str">
        <f t="shared" si="215"/>
        <v>PTM04</v>
      </c>
      <c r="G629" s="1" t="str">
        <f>""</f>
        <v/>
      </c>
      <c r="H629" s="1" t="str">
        <f t="shared" si="216"/>
        <v>REL37</v>
      </c>
      <c r="I629" s="1" t="str">
        <f>""</f>
        <v/>
      </c>
      <c r="J629" s="1" t="str">
        <f>""</f>
        <v/>
      </c>
      <c r="K629" s="1" t="str">
        <f>""</f>
        <v/>
      </c>
      <c r="L629" s="1" t="str">
        <f t="shared" si="199"/>
        <v>R</v>
      </c>
      <c r="M629" s="1" t="str">
        <f t="shared" si="217"/>
        <v>T20</v>
      </c>
      <c r="N629" s="1" t="str">
        <f t="shared" si="210"/>
        <v>Y</v>
      </c>
      <c r="O629" s="1" t="str">
        <f t="shared" si="207"/>
        <v>Y</v>
      </c>
      <c r="P629" s="1" t="str">
        <f t="shared" si="200"/>
        <v>Y</v>
      </c>
      <c r="Q629" s="1" t="str">
        <f t="shared" si="212"/>
        <v>A</v>
      </c>
    </row>
    <row r="630" spans="1:17" x14ac:dyDescent="0.3">
      <c r="A630" s="1" t="str">
        <f t="shared" si="211"/>
        <v>C2</v>
      </c>
      <c r="B630" s="1" t="str">
        <f>"CFSD012"</f>
        <v>CFSD012</v>
      </c>
      <c r="C630" s="1" t="str">
        <f>"대장 용종"</f>
        <v>대장 용종</v>
      </c>
      <c r="D630" s="1" t="str">
        <f>"▶대장내시경 검사에서 용종 (   개) 발견되어 조직검사 시행하였으며 이후 육안상 제거되었습니다."</f>
        <v>▶대장내시경 검사에서 용종 (   개) 발견되어 조직검사 시행하였으며 이후 육안상 제거되었습니다.</v>
      </c>
      <c r="E630" s="1" t="str">
        <f t="shared" si="214"/>
        <v>WOK02</v>
      </c>
      <c r="F630" s="1" t="str">
        <f t="shared" si="215"/>
        <v>PTM04</v>
      </c>
      <c r="G630" s="1" t="str">
        <f>""</f>
        <v/>
      </c>
      <c r="H630" s="1" t="str">
        <f t="shared" si="216"/>
        <v>REL37</v>
      </c>
      <c r="I630" s="1" t="str">
        <f>""</f>
        <v/>
      </c>
      <c r="J630" s="1" t="str">
        <f>""</f>
        <v/>
      </c>
      <c r="K630" s="1" t="str">
        <f>""</f>
        <v/>
      </c>
      <c r="L630" s="1" t="str">
        <f t="shared" si="199"/>
        <v>R</v>
      </c>
      <c r="M630" s="1" t="str">
        <f t="shared" si="217"/>
        <v>T20</v>
      </c>
      <c r="N630" s="1" t="str">
        <f t="shared" si="210"/>
        <v>Y</v>
      </c>
      <c r="O630" s="1" t="str">
        <f t="shared" si="207"/>
        <v>Y</v>
      </c>
      <c r="P630" s="1" t="str">
        <f t="shared" si="200"/>
        <v>Y</v>
      </c>
      <c r="Q630" s="1" t="str">
        <f t="shared" si="212"/>
        <v>A</v>
      </c>
    </row>
    <row r="631" spans="1:17" x14ac:dyDescent="0.3">
      <c r="A631" s="1" t="str">
        <f t="shared" si="211"/>
        <v>C2</v>
      </c>
      <c r="B631" s="1" t="str">
        <f>"CFSD013"</f>
        <v>CFSD013</v>
      </c>
      <c r="C631" s="1" t="str">
        <f>"남아있는 대장 용종"</f>
        <v>남아있는 대장 용종</v>
      </c>
      <c r="D631" s="1" t="str">
        <f>"▶대장내시경 검사에서 용종 (   개)이 있습니다. 남아있는 용종의 절제술을 위해 소화기내과 진료를 받으시기 바랍니다."</f>
        <v>▶대장내시경 검사에서 용종 (   개)이 있습니다. 남아있는 용종의 절제술을 위해 소화기내과 진료를 받으시기 바랍니다.</v>
      </c>
      <c r="E631" s="1" t="str">
        <f t="shared" si="214"/>
        <v>WOK02</v>
      </c>
      <c r="F631" s="1" t="str">
        <f t="shared" si="215"/>
        <v>PTM04</v>
      </c>
      <c r="G631" s="1" t="str">
        <f>""</f>
        <v/>
      </c>
      <c r="H631" s="1" t="str">
        <f t="shared" si="216"/>
        <v>REL37</v>
      </c>
      <c r="I631" s="1" t="str">
        <f>""</f>
        <v/>
      </c>
      <c r="J631" s="1" t="str">
        <f>""</f>
        <v/>
      </c>
      <c r="K631" s="1" t="str">
        <f>""</f>
        <v/>
      </c>
      <c r="L631" s="1" t="str">
        <f t="shared" si="199"/>
        <v>R</v>
      </c>
      <c r="M631" s="1" t="str">
        <f t="shared" si="217"/>
        <v>T20</v>
      </c>
      <c r="N631" s="1" t="str">
        <f t="shared" si="210"/>
        <v>Y</v>
      </c>
      <c r="O631" s="1" t="str">
        <f t="shared" si="207"/>
        <v>Y</v>
      </c>
      <c r="P631" s="1" t="str">
        <f t="shared" si="200"/>
        <v>Y</v>
      </c>
      <c r="Q631" s="1" t="str">
        <f t="shared" si="212"/>
        <v>A</v>
      </c>
    </row>
    <row r="632" spans="1:17" x14ac:dyDescent="0.3">
      <c r="A632" s="1" t="str">
        <f t="shared" si="211"/>
        <v>C2</v>
      </c>
      <c r="B632" s="1" t="str">
        <f>"CFSD014"</f>
        <v>CFSD014</v>
      </c>
      <c r="C632" s="1" t="str">
        <f>"대장 게실"</f>
        <v>대장 게실</v>
      </c>
      <c r="D632" s="1" t="s">
        <v>191</v>
      </c>
      <c r="E632" s="1" t="str">
        <f t="shared" si="214"/>
        <v>WOK02</v>
      </c>
      <c r="F632" s="1" t="str">
        <f t="shared" si="215"/>
        <v>PTM04</v>
      </c>
      <c r="G632" s="1" t="str">
        <f>""</f>
        <v/>
      </c>
      <c r="H632" s="1" t="str">
        <f t="shared" si="216"/>
        <v>REL37</v>
      </c>
      <c r="I632" s="1" t="str">
        <f>""</f>
        <v/>
      </c>
      <c r="J632" s="1" t="str">
        <f>""</f>
        <v/>
      </c>
      <c r="K632" s="1" t="str">
        <f>""</f>
        <v/>
      </c>
      <c r="L632" s="1" t="str">
        <f t="shared" si="199"/>
        <v>R</v>
      </c>
      <c r="M632" s="1" t="str">
        <f t="shared" si="217"/>
        <v>T20</v>
      </c>
      <c r="N632" s="1" t="str">
        <f t="shared" si="210"/>
        <v>Y</v>
      </c>
      <c r="O632" s="1" t="str">
        <f t="shared" si="207"/>
        <v>Y</v>
      </c>
      <c r="P632" s="1" t="str">
        <f t="shared" si="200"/>
        <v>Y</v>
      </c>
      <c r="Q632" s="1" t="str">
        <f t="shared" si="212"/>
        <v>A</v>
      </c>
    </row>
    <row r="633" spans="1:17" x14ac:dyDescent="0.3">
      <c r="A633" s="1" t="str">
        <f t="shared" si="211"/>
        <v>C2</v>
      </c>
      <c r="B633" s="1" t="str">
        <f>"CFSD015"</f>
        <v>CFSD015</v>
      </c>
      <c r="C633" s="1" t="str">
        <f>"치열"</f>
        <v>치열</v>
      </c>
      <c r="D633" s="1" t="s">
        <v>192</v>
      </c>
      <c r="E633" s="1" t="str">
        <f t="shared" si="214"/>
        <v>WOK02</v>
      </c>
      <c r="F633" s="1" t="str">
        <f t="shared" si="215"/>
        <v>PTM04</v>
      </c>
      <c r="G633" s="1" t="str">
        <f>""</f>
        <v/>
      </c>
      <c r="H633" s="1" t="str">
        <f t="shared" si="216"/>
        <v>REL37</v>
      </c>
      <c r="I633" s="1" t="str">
        <f>""</f>
        <v/>
      </c>
      <c r="J633" s="1" t="str">
        <f>""</f>
        <v/>
      </c>
      <c r="K633" s="1" t="str">
        <f>""</f>
        <v/>
      </c>
      <c r="L633" s="1" t="str">
        <f t="shared" si="199"/>
        <v>R</v>
      </c>
      <c r="M633" s="1" t="str">
        <f t="shared" si="217"/>
        <v>T20</v>
      </c>
      <c r="N633" s="1" t="str">
        <f t="shared" si="210"/>
        <v>Y</v>
      </c>
      <c r="O633" s="1" t="str">
        <f t="shared" si="207"/>
        <v>Y</v>
      </c>
      <c r="P633" s="1" t="str">
        <f t="shared" si="200"/>
        <v>Y</v>
      </c>
      <c r="Q633" s="1" t="str">
        <f t="shared" si="212"/>
        <v>A</v>
      </c>
    </row>
    <row r="634" spans="1:17" x14ac:dyDescent="0.3">
      <c r="A634" s="1" t="str">
        <f t="shared" si="211"/>
        <v>C2</v>
      </c>
      <c r="B634" s="1" t="str">
        <f>"CFSD016"</f>
        <v>CFSD016</v>
      </c>
      <c r="C634" s="1" t="str">
        <f>"염증성장질환 의증"</f>
        <v>염증성장질환 의증</v>
      </c>
      <c r="D634" s="1" t="str">
        <f>"▶대장내시경 검사에서 염증성장질환이 의심됩니다. 이에 대한 상담 및 치료 고려하여 소화기내과 진료를 받으시기 바랍니다."</f>
        <v>▶대장내시경 검사에서 염증성장질환이 의심됩니다. 이에 대한 상담 및 치료 고려하여 소화기내과 진료를 받으시기 바랍니다.</v>
      </c>
      <c r="E634" s="1" t="str">
        <f t="shared" si="214"/>
        <v>WOK02</v>
      </c>
      <c r="F634" s="1" t="str">
        <f t="shared" si="215"/>
        <v>PTM04</v>
      </c>
      <c r="G634" s="1" t="str">
        <f>""</f>
        <v/>
      </c>
      <c r="H634" s="1" t="str">
        <f t="shared" si="216"/>
        <v>REL37</v>
      </c>
      <c r="I634" s="1" t="str">
        <f>""</f>
        <v/>
      </c>
      <c r="J634" s="1" t="str">
        <f>""</f>
        <v/>
      </c>
      <c r="K634" s="1" t="str">
        <f>""</f>
        <v/>
      </c>
      <c r="L634" s="1" t="str">
        <f t="shared" si="199"/>
        <v>R</v>
      </c>
      <c r="M634" s="1" t="str">
        <f t="shared" si="217"/>
        <v>T20</v>
      </c>
      <c r="N634" s="1" t="str">
        <f t="shared" si="210"/>
        <v>Y</v>
      </c>
      <c r="O634" s="1" t="str">
        <f t="shared" si="207"/>
        <v>Y</v>
      </c>
      <c r="P634" s="1" t="str">
        <f t="shared" si="200"/>
        <v>Y</v>
      </c>
      <c r="Q634" s="1" t="str">
        <f t="shared" si="212"/>
        <v>A</v>
      </c>
    </row>
    <row r="635" spans="1:17" x14ac:dyDescent="0.3">
      <c r="A635" s="1" t="str">
        <f t="shared" si="211"/>
        <v>C2</v>
      </c>
      <c r="B635" s="1" t="str">
        <f>"CFSD017"</f>
        <v>CFSD017</v>
      </c>
      <c r="C635" s="1" t="str">
        <f>"직장염"</f>
        <v>직장염</v>
      </c>
      <c r="D635" s="1" t="s">
        <v>193</v>
      </c>
      <c r="E635" s="1" t="str">
        <f t="shared" si="214"/>
        <v>WOK02</v>
      </c>
      <c r="F635" s="1" t="str">
        <f t="shared" si="215"/>
        <v>PTM04</v>
      </c>
      <c r="G635" s="1" t="str">
        <f>""</f>
        <v/>
      </c>
      <c r="H635" s="1" t="str">
        <f t="shared" si="216"/>
        <v>REL37</v>
      </c>
      <c r="I635" s="1" t="str">
        <f>""</f>
        <v/>
      </c>
      <c r="J635" s="1" t="str">
        <f>""</f>
        <v/>
      </c>
      <c r="K635" s="1" t="str">
        <f>""</f>
        <v/>
      </c>
      <c r="L635" s="1" t="str">
        <f t="shared" si="199"/>
        <v>R</v>
      </c>
      <c r="M635" s="1" t="str">
        <f t="shared" si="217"/>
        <v>T20</v>
      </c>
      <c r="N635" s="1" t="str">
        <f t="shared" si="210"/>
        <v>Y</v>
      </c>
      <c r="O635" s="1" t="str">
        <f t="shared" si="207"/>
        <v>Y</v>
      </c>
      <c r="P635" s="1" t="str">
        <f t="shared" si="200"/>
        <v>Y</v>
      </c>
      <c r="Q635" s="1" t="str">
        <f t="shared" si="212"/>
        <v>A</v>
      </c>
    </row>
    <row r="636" spans="1:17" x14ac:dyDescent="0.3">
      <c r="A636" s="1" t="str">
        <f t="shared" si="211"/>
        <v>C2</v>
      </c>
      <c r="B636" s="1" t="str">
        <f>"CFSD018"</f>
        <v>CFSD018</v>
      </c>
      <c r="C636" s="1" t="str">
        <f>"비특이적 대장염"</f>
        <v>비특이적 대장염</v>
      </c>
      <c r="D636" s="1" t="s">
        <v>194</v>
      </c>
      <c r="E636" s="1" t="str">
        <f t="shared" si="214"/>
        <v>WOK02</v>
      </c>
      <c r="F636" s="1" t="str">
        <f t="shared" si="215"/>
        <v>PTM04</v>
      </c>
      <c r="G636" s="1" t="str">
        <f>""</f>
        <v/>
      </c>
      <c r="H636" s="1" t="str">
        <f t="shared" si="216"/>
        <v>REL37</v>
      </c>
      <c r="I636" s="1" t="str">
        <f>""</f>
        <v/>
      </c>
      <c r="J636" s="1" t="str">
        <f>""</f>
        <v/>
      </c>
      <c r="K636" s="1" t="str">
        <f>""</f>
        <v/>
      </c>
      <c r="L636" s="1" t="str">
        <f t="shared" si="199"/>
        <v>R</v>
      </c>
      <c r="M636" s="1" t="str">
        <f t="shared" si="217"/>
        <v>T20</v>
      </c>
      <c r="N636" s="1" t="str">
        <f t="shared" si="210"/>
        <v>Y</v>
      </c>
      <c r="O636" s="1" t="str">
        <f t="shared" si="207"/>
        <v>Y</v>
      </c>
      <c r="P636" s="1" t="str">
        <f t="shared" si="200"/>
        <v>Y</v>
      </c>
      <c r="Q636" s="1" t="str">
        <f t="shared" si="212"/>
        <v>A</v>
      </c>
    </row>
    <row r="637" spans="1:17" x14ac:dyDescent="0.3">
      <c r="A637" s="1" t="str">
        <f t="shared" si="211"/>
        <v>C2</v>
      </c>
      <c r="B637" s="1" t="str">
        <f>"CFSD019"</f>
        <v>CFSD019</v>
      </c>
      <c r="C637" s="1" t="str">
        <f>"불충분한 장정결"</f>
        <v>불충분한 장정결</v>
      </c>
      <c r="D637" s="1" t="str">
        <f>"▶ 대변이 많이 남아있어 관찰하지 못한 부분이 많습니다. 대장내시경 전처치에 주의하시어 1개월 내 대장내시경 재검을 권유드립니다. 다음 대장내시경 검사시에는 검사 수일 전부터 식이 조절에 더욱 유의하시기 바랍니다."</f>
        <v>▶ 대변이 많이 남아있어 관찰하지 못한 부분이 많습니다. 대장내시경 전처치에 주의하시어 1개월 내 대장내시경 재검을 권유드립니다. 다음 대장내시경 검사시에는 검사 수일 전부터 식이 조절에 더욱 유의하시기 바랍니다.</v>
      </c>
      <c r="E637" s="1" t="str">
        <f t="shared" si="214"/>
        <v>WOK02</v>
      </c>
      <c r="F637" s="1" t="str">
        <f t="shared" si="215"/>
        <v>PTM04</v>
      </c>
      <c r="G637" s="1" t="str">
        <f>""</f>
        <v/>
      </c>
      <c r="H637" s="1" t="str">
        <f t="shared" si="216"/>
        <v>REL37</v>
      </c>
      <c r="I637" s="1" t="str">
        <f>""</f>
        <v/>
      </c>
      <c r="J637" s="1" t="str">
        <f>""</f>
        <v/>
      </c>
      <c r="K637" s="1" t="str">
        <f>""</f>
        <v/>
      </c>
      <c r="L637" s="1" t="str">
        <f t="shared" si="199"/>
        <v>R</v>
      </c>
      <c r="M637" s="1" t="str">
        <f t="shared" si="217"/>
        <v>T20</v>
      </c>
      <c r="N637" s="1" t="str">
        <f t="shared" si="210"/>
        <v>Y</v>
      </c>
      <c r="O637" s="1" t="str">
        <f t="shared" si="207"/>
        <v>Y</v>
      </c>
      <c r="P637" s="1" t="str">
        <f t="shared" si="200"/>
        <v>Y</v>
      </c>
      <c r="Q637" s="1" t="str">
        <f t="shared" si="212"/>
        <v>A</v>
      </c>
    </row>
    <row r="638" spans="1:17" x14ac:dyDescent="0.3">
      <c r="A638" s="1" t="str">
        <f t="shared" si="211"/>
        <v>C2</v>
      </c>
      <c r="B638" s="1" t="str">
        <f>"CFSD021"</f>
        <v>CFSD021</v>
      </c>
      <c r="C638" s="1" t="str">
        <f>"편충"</f>
        <v>편충</v>
      </c>
      <c r="D638" s="1" t="str">
        <f>"▶대장내시경 검사에서 편충이 관찰되어 포셉으로 제거하였습니다. 치료 및 상담 위해 소화기내과 진료 받으십시오."</f>
        <v>▶대장내시경 검사에서 편충이 관찰되어 포셉으로 제거하였습니다. 치료 및 상담 위해 소화기내과 진료 받으십시오.</v>
      </c>
      <c r="E638" s="1" t="str">
        <f t="shared" si="214"/>
        <v>WOK02</v>
      </c>
      <c r="F638" s="1" t="str">
        <f t="shared" si="215"/>
        <v>PTM04</v>
      </c>
      <c r="G638" s="1" t="str">
        <f>""</f>
        <v/>
      </c>
      <c r="H638" s="1" t="str">
        <f t="shared" si="216"/>
        <v>REL37</v>
      </c>
      <c r="I638" s="1" t="str">
        <f>""</f>
        <v/>
      </c>
      <c r="J638" s="1" t="str">
        <f>""</f>
        <v/>
      </c>
      <c r="K638" s="1" t="str">
        <f>""</f>
        <v/>
      </c>
      <c r="L638" s="1" t="str">
        <f t="shared" si="199"/>
        <v>R</v>
      </c>
      <c r="M638" s="1" t="str">
        <f t="shared" si="217"/>
        <v>T20</v>
      </c>
      <c r="N638" s="1" t="str">
        <f t="shared" si="210"/>
        <v>Y</v>
      </c>
      <c r="O638" s="1" t="str">
        <f t="shared" si="207"/>
        <v>Y</v>
      </c>
      <c r="P638" s="1" t="str">
        <f t="shared" si="200"/>
        <v>Y</v>
      </c>
      <c r="Q638" s="1" t="str">
        <f t="shared" si="212"/>
        <v>A</v>
      </c>
    </row>
    <row r="639" spans="1:17" x14ac:dyDescent="0.3">
      <c r="A639" s="1" t="str">
        <f t="shared" si="211"/>
        <v>C2</v>
      </c>
      <c r="B639" s="1" t="str">
        <f>"CFSD022"</f>
        <v>CFSD022</v>
      </c>
      <c r="C639" s="1" t="str">
        <f>"용종절제술"</f>
        <v>용종절제술</v>
      </c>
      <c r="D639" s="1" t="str">
        <f>"대장내시경 검사에서 용종 (   개)이 발견되어 용종절제술을 시행하였습니다."</f>
        <v>대장내시경 검사에서 용종 (   개)이 발견되어 용종절제술을 시행하였습니다.</v>
      </c>
      <c r="E639" s="1" t="str">
        <f t="shared" si="214"/>
        <v>WOK02</v>
      </c>
      <c r="F639" s="1" t="str">
        <f t="shared" si="215"/>
        <v>PTM04</v>
      </c>
      <c r="G639" s="1" t="str">
        <f>""</f>
        <v/>
      </c>
      <c r="H639" s="1" t="str">
        <f t="shared" si="216"/>
        <v>REL37</v>
      </c>
      <c r="I639" s="1" t="str">
        <f>""</f>
        <v/>
      </c>
      <c r="J639" s="1" t="str">
        <f>""</f>
        <v/>
      </c>
      <c r="K639" s="1" t="str">
        <f>""</f>
        <v/>
      </c>
      <c r="L639" s="1" t="str">
        <f t="shared" si="199"/>
        <v>R</v>
      </c>
      <c r="M639" s="1" t="str">
        <f t="shared" si="217"/>
        <v>T20</v>
      </c>
      <c r="N639" s="1" t="str">
        <f t="shared" si="210"/>
        <v>Y</v>
      </c>
      <c r="O639" s="1" t="str">
        <f t="shared" si="207"/>
        <v>Y</v>
      </c>
      <c r="P639" s="1" t="str">
        <f t="shared" si="200"/>
        <v>Y</v>
      </c>
      <c r="Q639" s="1" t="str">
        <f t="shared" si="212"/>
        <v>A</v>
      </c>
    </row>
    <row r="640" spans="1:17" x14ac:dyDescent="0.3">
      <c r="A640" s="1" t="str">
        <f t="shared" si="211"/>
        <v>C2</v>
      </c>
      <c r="B640" s="1" t="str">
        <f>"CFSD023"</f>
        <v>CFSD023</v>
      </c>
      <c r="C640" s="1" t="str">
        <f>"대장 측방발육형 종양"</f>
        <v>대장 측방발육형 종양</v>
      </c>
      <c r="D640" s="1" t="str">
        <f>"▶대장내시경 검사에서 측방발육형 종양 관찰됩니다. 이는 장관별을 따라 측방으로 성장하는 경향을 보이는 표면형 종양의 한 형태를 말합니다. 악성 변화의 가능성이 있을 수 있어 시술적 제거가 필요합니다. 소화기내과 내원하시어 상담받으시기 바랍니다."</f>
        <v>▶대장내시경 검사에서 측방발육형 종양 관찰됩니다. 이는 장관별을 따라 측방으로 성장하는 경향을 보이는 표면형 종양의 한 형태를 말합니다. 악성 변화의 가능성이 있을 수 있어 시술적 제거가 필요합니다. 소화기내과 내원하시어 상담받으시기 바랍니다.</v>
      </c>
      <c r="E640" s="1" t="str">
        <f t="shared" si="214"/>
        <v>WOK02</v>
      </c>
      <c r="F640" s="1" t="str">
        <f t="shared" si="215"/>
        <v>PTM04</v>
      </c>
      <c r="G640" s="1" t="str">
        <f>""</f>
        <v/>
      </c>
      <c r="H640" s="1" t="str">
        <f t="shared" si="216"/>
        <v>REL37</v>
      </c>
      <c r="I640" s="1" t="str">
        <f>""</f>
        <v/>
      </c>
      <c r="J640" s="1" t="str">
        <f>""</f>
        <v/>
      </c>
      <c r="K640" s="1" t="str">
        <f>""</f>
        <v/>
      </c>
      <c r="L640" s="1" t="str">
        <f t="shared" si="199"/>
        <v>R</v>
      </c>
      <c r="M640" s="1" t="str">
        <f t="shared" si="217"/>
        <v>T20</v>
      </c>
      <c r="N640" s="1" t="str">
        <f t="shared" si="210"/>
        <v>Y</v>
      </c>
      <c r="O640" s="1" t="str">
        <f t="shared" si="207"/>
        <v>Y</v>
      </c>
      <c r="P640" s="1" t="str">
        <f t="shared" si="200"/>
        <v>Y</v>
      </c>
      <c r="Q640" s="1" t="str">
        <f t="shared" si="212"/>
        <v>A</v>
      </c>
    </row>
    <row r="641" spans="1:17" x14ac:dyDescent="0.3">
      <c r="A641" s="1" t="str">
        <f t="shared" si="211"/>
        <v>C2</v>
      </c>
      <c r="B641" s="1" t="str">
        <f>"DER302"</f>
        <v>DER302</v>
      </c>
      <c r="C641" s="1" t="str">
        <f>"피부염주의"</f>
        <v>피부염주의</v>
      </c>
      <c r="D641" s="1" t="s">
        <v>195</v>
      </c>
      <c r="E641" s="1" t="str">
        <f t="shared" si="214"/>
        <v>WOK02</v>
      </c>
      <c r="F641" s="1" t="str">
        <f>"PTM03"</f>
        <v>PTM03</v>
      </c>
      <c r="G641" s="1" t="str">
        <f>"DISL"</f>
        <v>DISL</v>
      </c>
      <c r="H641" s="1" t="str">
        <f>"REL13"</f>
        <v>REL13</v>
      </c>
      <c r="I641" s="1" t="str">
        <f>""</f>
        <v/>
      </c>
      <c r="J641" s="1" t="str">
        <f>"C42C"</f>
        <v>C42C</v>
      </c>
      <c r="K641" s="1" t="str">
        <f>"C42C"</f>
        <v>C42C</v>
      </c>
      <c r="L641" s="1" t="str">
        <f t="shared" si="199"/>
        <v>R</v>
      </c>
      <c r="M641" s="1" t="str">
        <f>"T08"</f>
        <v>T08</v>
      </c>
      <c r="N641" s="1" t="str">
        <f t="shared" si="210"/>
        <v>Y</v>
      </c>
      <c r="O641" s="1" t="str">
        <f t="shared" si="207"/>
        <v>Y</v>
      </c>
      <c r="P641" s="1" t="str">
        <f t="shared" si="200"/>
        <v>Y</v>
      </c>
      <c r="Q641" s="1" t="str">
        <f t="shared" si="212"/>
        <v>A</v>
      </c>
    </row>
    <row r="642" spans="1:17" x14ac:dyDescent="0.3">
      <c r="A642" s="1" t="str">
        <f t="shared" si="211"/>
        <v>C2</v>
      </c>
      <c r="B642" s="1" t="str">
        <f>"DES301"</f>
        <v>DES301</v>
      </c>
      <c r="C642" s="1" t="str">
        <f>"안구건조증주의"</f>
        <v>안구건조증주의</v>
      </c>
      <c r="D642" s="1" t="str">
        <f>"안구건조증이 심해지면 치료받으세요"</f>
        <v>안구건조증이 심해지면 치료받으세요</v>
      </c>
      <c r="E642" s="1" t="str">
        <f t="shared" si="214"/>
        <v>WOK02</v>
      </c>
      <c r="F642" s="1" t="str">
        <f>"PTM03"</f>
        <v>PTM03</v>
      </c>
      <c r="G642" s="1" t="str">
        <f>"DISH"</f>
        <v>DISH</v>
      </c>
      <c r="H642" s="1" t="str">
        <f>"REL14"</f>
        <v>REL14</v>
      </c>
      <c r="I642" s="1" t="str">
        <f>""</f>
        <v/>
      </c>
      <c r="J642" s="1" t="str">
        <f>"C38C"</f>
        <v>C38C</v>
      </c>
      <c r="K642" s="1" t="str">
        <f>"C38C"</f>
        <v>C38C</v>
      </c>
      <c r="L642" s="1" t="str">
        <f t="shared" si="199"/>
        <v>R</v>
      </c>
      <c r="M642" s="1" t="str">
        <f>"T09"</f>
        <v>T09</v>
      </c>
      <c r="N642" s="1" t="str">
        <f t="shared" si="210"/>
        <v>Y</v>
      </c>
      <c r="O642" s="1" t="str">
        <f t="shared" si="207"/>
        <v>Y</v>
      </c>
      <c r="P642" s="1" t="str">
        <f t="shared" si="200"/>
        <v>Y</v>
      </c>
      <c r="Q642" s="1" t="str">
        <f t="shared" si="212"/>
        <v>A</v>
      </c>
    </row>
    <row r="643" spans="1:17" x14ac:dyDescent="0.3">
      <c r="A643" s="1" t="str">
        <f t="shared" si="211"/>
        <v>C2</v>
      </c>
      <c r="B643" s="1" t="str">
        <f>"DMD305"</f>
        <v>DMD305</v>
      </c>
      <c r="C643" s="1" t="str">
        <f>"당화혈색소 상승"</f>
        <v>당화혈색소 상승</v>
      </c>
      <c r="D643" s="1" t="str">
        <f>"2-3개월간 혈당수치를 반영하는 당화혈색소 수치가 높아서 당뇨질환이 있을 가능성이 높습니다. 내과나 가정의학과에서 진료를 받으세요."</f>
        <v>2-3개월간 혈당수치를 반영하는 당화혈색소 수치가 높아서 당뇨질환이 있을 가능성이 높습니다. 내과나 가정의학과에서 진료를 받으세요.</v>
      </c>
      <c r="E643" s="1" t="str">
        <f t="shared" si="214"/>
        <v>WOK02</v>
      </c>
      <c r="F643" s="1" t="str">
        <f>"PTM01"</f>
        <v>PTM01</v>
      </c>
      <c r="G643" s="1" t="str">
        <f>"DISE"</f>
        <v>DISE</v>
      </c>
      <c r="H643" s="1" t="str">
        <f>"REL07"</f>
        <v>REL07</v>
      </c>
      <c r="I643" s="1" t="str">
        <f>""</f>
        <v/>
      </c>
      <c r="J643" s="1" t="str">
        <f>"C06C"</f>
        <v>C06C</v>
      </c>
      <c r="K643" s="1" t="str">
        <f>"C06C"</f>
        <v>C06C</v>
      </c>
      <c r="L643" s="1" t="str">
        <f t="shared" si="199"/>
        <v>R</v>
      </c>
      <c r="M643" s="1" t="str">
        <f t="shared" ref="M643:M666" si="218">"T03"</f>
        <v>T03</v>
      </c>
      <c r="N643" s="1" t="str">
        <f t="shared" si="210"/>
        <v>Y</v>
      </c>
      <c r="O643" s="1" t="str">
        <f t="shared" si="207"/>
        <v>Y</v>
      </c>
      <c r="P643" s="1" t="str">
        <f t="shared" si="200"/>
        <v>Y</v>
      </c>
      <c r="Q643" s="1" t="str">
        <f t="shared" si="212"/>
        <v>A</v>
      </c>
    </row>
    <row r="644" spans="1:17" x14ac:dyDescent="0.3">
      <c r="A644" s="1" t="str">
        <f t="shared" si="211"/>
        <v>C2</v>
      </c>
      <c r="B644" s="1" t="str">
        <f>"EKG201"</f>
        <v>EKG201</v>
      </c>
      <c r="C644" s="1" t="str">
        <f>"동성 서맥"</f>
        <v>동성 서맥</v>
      </c>
      <c r="D644" s="1" t="s">
        <v>196</v>
      </c>
      <c r="E644" s="1" t="str">
        <f t="shared" si="214"/>
        <v>WOK02</v>
      </c>
      <c r="F644" s="1" t="str">
        <f>"PTM03"</f>
        <v>PTM03</v>
      </c>
      <c r="G644" s="1" t="str">
        <f t="shared" ref="G644:G666" si="219">"DISI"</f>
        <v>DISI</v>
      </c>
      <c r="H644" s="1" t="str">
        <f t="shared" ref="H644:H666" si="220">"REL06"</f>
        <v>REL06</v>
      </c>
      <c r="I644" s="1" t="str">
        <f>""</f>
        <v/>
      </c>
      <c r="J644" s="1" t="str">
        <f t="shared" ref="J644:K666" si="221">"C39C"</f>
        <v>C39C</v>
      </c>
      <c r="K644" s="1" t="str">
        <f t="shared" si="221"/>
        <v>C39C</v>
      </c>
      <c r="L644" s="1" t="str">
        <f t="shared" si="199"/>
        <v>R</v>
      </c>
      <c r="M644" s="1" t="str">
        <f t="shared" si="218"/>
        <v>T03</v>
      </c>
      <c r="N644" s="1" t="str">
        <f t="shared" si="210"/>
        <v>Y</v>
      </c>
      <c r="O644" s="1" t="str">
        <f t="shared" si="207"/>
        <v>Y</v>
      </c>
      <c r="P644" s="1" t="str">
        <f t="shared" si="200"/>
        <v>Y</v>
      </c>
      <c r="Q644" s="1" t="str">
        <f t="shared" si="212"/>
        <v>A</v>
      </c>
    </row>
    <row r="645" spans="1:17" x14ac:dyDescent="0.3">
      <c r="A645" s="1" t="str">
        <f t="shared" si="211"/>
        <v>C2</v>
      </c>
      <c r="B645" s="1" t="str">
        <f>"EKG202"</f>
        <v>EKG202</v>
      </c>
      <c r="C645" s="1" t="str">
        <f>"동성 빈맥"</f>
        <v>동성 빈맥</v>
      </c>
      <c r="D645" s="1" t="s">
        <v>197</v>
      </c>
      <c r="E645" s="1" t="str">
        <f t="shared" si="214"/>
        <v>WOK02</v>
      </c>
      <c r="F645" s="1" t="str">
        <f>"PTM03"</f>
        <v>PTM03</v>
      </c>
      <c r="G645" s="1" t="str">
        <f t="shared" si="219"/>
        <v>DISI</v>
      </c>
      <c r="H645" s="1" t="str">
        <f t="shared" si="220"/>
        <v>REL06</v>
      </c>
      <c r="I645" s="1" t="str">
        <f>""</f>
        <v/>
      </c>
      <c r="J645" s="1" t="str">
        <f t="shared" si="221"/>
        <v>C39C</v>
      </c>
      <c r="K645" s="1" t="str">
        <f t="shared" si="221"/>
        <v>C39C</v>
      </c>
      <c r="L645" s="1" t="str">
        <f t="shared" si="199"/>
        <v>R</v>
      </c>
      <c r="M645" s="1" t="str">
        <f t="shared" si="218"/>
        <v>T03</v>
      </c>
      <c r="N645" s="1" t="str">
        <f t="shared" si="210"/>
        <v>Y</v>
      </c>
      <c r="O645" s="1" t="str">
        <f t="shared" si="207"/>
        <v>Y</v>
      </c>
      <c r="P645" s="1" t="str">
        <f t="shared" si="200"/>
        <v>Y</v>
      </c>
      <c r="Q645" s="1" t="str">
        <f t="shared" si="212"/>
        <v>A</v>
      </c>
    </row>
    <row r="646" spans="1:17" x14ac:dyDescent="0.3">
      <c r="A646" s="1" t="str">
        <f t="shared" si="211"/>
        <v>C2</v>
      </c>
      <c r="B646" s="1" t="str">
        <f>"EKG203"</f>
        <v>EKG203</v>
      </c>
      <c r="C646" s="1" t="str">
        <f>"동성 부정맥"</f>
        <v>동성 부정맥</v>
      </c>
      <c r="D646" s="1" t="s">
        <v>198</v>
      </c>
      <c r="E646" s="1" t="str">
        <f t="shared" si="214"/>
        <v>WOK02</v>
      </c>
      <c r="F646" s="1" t="str">
        <f>"PTM03"</f>
        <v>PTM03</v>
      </c>
      <c r="G646" s="1" t="str">
        <f t="shared" si="219"/>
        <v>DISI</v>
      </c>
      <c r="H646" s="1" t="str">
        <f t="shared" si="220"/>
        <v>REL06</v>
      </c>
      <c r="I646" s="1" t="str">
        <f>""</f>
        <v/>
      </c>
      <c r="J646" s="1" t="str">
        <f t="shared" si="221"/>
        <v>C39C</v>
      </c>
      <c r="K646" s="1" t="str">
        <f t="shared" si="221"/>
        <v>C39C</v>
      </c>
      <c r="L646" s="1" t="str">
        <f t="shared" si="199"/>
        <v>R</v>
      </c>
      <c r="M646" s="1" t="str">
        <f t="shared" si="218"/>
        <v>T03</v>
      </c>
      <c r="N646" s="1" t="str">
        <f t="shared" si="210"/>
        <v>Y</v>
      </c>
      <c r="O646" s="1" t="str">
        <f t="shared" si="207"/>
        <v>Y</v>
      </c>
      <c r="P646" s="1" t="str">
        <f t="shared" si="200"/>
        <v>Y</v>
      </c>
      <c r="Q646" s="1" t="str">
        <f t="shared" si="212"/>
        <v>A</v>
      </c>
    </row>
    <row r="647" spans="1:17" x14ac:dyDescent="0.3">
      <c r="A647" s="1" t="str">
        <f t="shared" si="211"/>
        <v>C2</v>
      </c>
      <c r="B647" s="1" t="str">
        <f>"EKG2031"</f>
        <v>EKG2031</v>
      </c>
      <c r="C647" s="1" t="str">
        <f>"부정맥"</f>
        <v>부정맥</v>
      </c>
      <c r="D647" s="1" t="str">
        <f>"심전도상 부정맥이 관찰됩니다. 증상(숨이 차거나 가슴 통증)이 있을 경우 심장내과 진료가 필요합니다."</f>
        <v>심전도상 부정맥이 관찰됩니다. 증상(숨이 차거나 가슴 통증)이 있을 경우 심장내과 진료가 필요합니다.</v>
      </c>
      <c r="E647" s="1" t="str">
        <f t="shared" si="214"/>
        <v>WOK02</v>
      </c>
      <c r="F647" s="1" t="str">
        <f>"PTM01"</f>
        <v>PTM01</v>
      </c>
      <c r="G647" s="1" t="str">
        <f t="shared" si="219"/>
        <v>DISI</v>
      </c>
      <c r="H647" s="1" t="str">
        <f t="shared" si="220"/>
        <v>REL06</v>
      </c>
      <c r="I647" s="1" t="str">
        <f>""</f>
        <v/>
      </c>
      <c r="J647" s="1" t="str">
        <f t="shared" si="221"/>
        <v>C39C</v>
      </c>
      <c r="K647" s="1" t="str">
        <f t="shared" si="221"/>
        <v>C39C</v>
      </c>
      <c r="L647" s="1" t="str">
        <f t="shared" si="199"/>
        <v>R</v>
      </c>
      <c r="M647" s="1" t="str">
        <f t="shared" si="218"/>
        <v>T03</v>
      </c>
      <c r="N647" s="1" t="str">
        <f t="shared" si="210"/>
        <v>Y</v>
      </c>
      <c r="O647" s="1" t="str">
        <f t="shared" si="207"/>
        <v>Y</v>
      </c>
      <c r="P647" s="1" t="str">
        <f t="shared" si="200"/>
        <v>Y</v>
      </c>
      <c r="Q647" s="1" t="str">
        <f t="shared" si="212"/>
        <v>A</v>
      </c>
    </row>
    <row r="648" spans="1:17" x14ac:dyDescent="0.3">
      <c r="A648" s="1" t="str">
        <f t="shared" si="211"/>
        <v>C2</v>
      </c>
      <c r="B648" s="1" t="str">
        <f>"EKG204"</f>
        <v>EKG204</v>
      </c>
      <c r="C648" s="1" t="str">
        <f>"딴곳심방조율"</f>
        <v>딴곳심방조율</v>
      </c>
      <c r="D648" s="1" t="s">
        <v>199</v>
      </c>
      <c r="E648" s="1" t="str">
        <f t="shared" si="214"/>
        <v>WOK02</v>
      </c>
      <c r="F648" s="1" t="str">
        <f t="shared" ref="F648:F671" si="222">"PTM03"</f>
        <v>PTM03</v>
      </c>
      <c r="G648" s="1" t="str">
        <f t="shared" si="219"/>
        <v>DISI</v>
      </c>
      <c r="H648" s="1" t="str">
        <f t="shared" si="220"/>
        <v>REL06</v>
      </c>
      <c r="I648" s="1" t="str">
        <f>""</f>
        <v/>
      </c>
      <c r="J648" s="1" t="str">
        <f t="shared" si="221"/>
        <v>C39C</v>
      </c>
      <c r="K648" s="1" t="str">
        <f t="shared" si="221"/>
        <v>C39C</v>
      </c>
      <c r="L648" s="1" t="str">
        <f t="shared" si="199"/>
        <v>R</v>
      </c>
      <c r="M648" s="1" t="str">
        <f t="shared" si="218"/>
        <v>T03</v>
      </c>
      <c r="N648" s="1" t="str">
        <f t="shared" si="210"/>
        <v>Y</v>
      </c>
      <c r="O648" s="1" t="str">
        <f t="shared" si="207"/>
        <v>Y</v>
      </c>
      <c r="P648" s="1" t="str">
        <f t="shared" si="200"/>
        <v>Y</v>
      </c>
      <c r="Q648" s="1" t="str">
        <f t="shared" si="212"/>
        <v>A</v>
      </c>
    </row>
    <row r="649" spans="1:17" x14ac:dyDescent="0.3">
      <c r="A649" s="1" t="str">
        <f t="shared" si="211"/>
        <v>C2</v>
      </c>
      <c r="B649" s="1" t="str">
        <f>"EKG205"</f>
        <v>EKG205</v>
      </c>
      <c r="C649" s="1" t="str">
        <f>"1도 방실차단"</f>
        <v>1도 방실차단</v>
      </c>
      <c r="D649" s="1" t="s">
        <v>200</v>
      </c>
      <c r="E649" s="1" t="str">
        <f t="shared" si="214"/>
        <v>WOK02</v>
      </c>
      <c r="F649" s="1" t="str">
        <f t="shared" si="222"/>
        <v>PTM03</v>
      </c>
      <c r="G649" s="1" t="str">
        <f t="shared" si="219"/>
        <v>DISI</v>
      </c>
      <c r="H649" s="1" t="str">
        <f t="shared" si="220"/>
        <v>REL06</v>
      </c>
      <c r="I649" s="1" t="str">
        <f>""</f>
        <v/>
      </c>
      <c r="J649" s="1" t="str">
        <f t="shared" si="221"/>
        <v>C39C</v>
      </c>
      <c r="K649" s="1" t="str">
        <f t="shared" si="221"/>
        <v>C39C</v>
      </c>
      <c r="L649" s="1" t="str">
        <f t="shared" ref="L649:L712" si="223">"R"</f>
        <v>R</v>
      </c>
      <c r="M649" s="1" t="str">
        <f t="shared" si="218"/>
        <v>T03</v>
      </c>
      <c r="N649" s="1" t="str">
        <f t="shared" si="210"/>
        <v>Y</v>
      </c>
      <c r="O649" s="1" t="str">
        <f t="shared" si="207"/>
        <v>Y</v>
      </c>
      <c r="P649" s="1" t="str">
        <f t="shared" si="200"/>
        <v>Y</v>
      </c>
      <c r="Q649" s="1" t="str">
        <f t="shared" si="212"/>
        <v>A</v>
      </c>
    </row>
    <row r="650" spans="1:17" x14ac:dyDescent="0.3">
      <c r="A650" s="1" t="str">
        <f t="shared" si="211"/>
        <v>C2</v>
      </c>
      <c r="B650" s="1" t="str">
        <f>"EKG206"</f>
        <v>EKG206</v>
      </c>
      <c r="C650" s="1" t="str">
        <f>"불완전 우각차단"</f>
        <v>불완전 우각차단</v>
      </c>
      <c r="D650" s="1" t="s">
        <v>201</v>
      </c>
      <c r="E650" s="1" t="str">
        <f t="shared" si="214"/>
        <v>WOK02</v>
      </c>
      <c r="F650" s="1" t="str">
        <f t="shared" si="222"/>
        <v>PTM03</v>
      </c>
      <c r="G650" s="1" t="str">
        <f t="shared" si="219"/>
        <v>DISI</v>
      </c>
      <c r="H650" s="1" t="str">
        <f t="shared" si="220"/>
        <v>REL06</v>
      </c>
      <c r="I650" s="1" t="str">
        <f>""</f>
        <v/>
      </c>
      <c r="J650" s="1" t="str">
        <f t="shared" si="221"/>
        <v>C39C</v>
      </c>
      <c r="K650" s="1" t="str">
        <f t="shared" si="221"/>
        <v>C39C</v>
      </c>
      <c r="L650" s="1" t="str">
        <f t="shared" si="223"/>
        <v>R</v>
      </c>
      <c r="M650" s="1" t="str">
        <f t="shared" si="218"/>
        <v>T03</v>
      </c>
      <c r="N650" s="1" t="str">
        <f t="shared" si="210"/>
        <v>Y</v>
      </c>
      <c r="O650" s="1" t="str">
        <f t="shared" si="207"/>
        <v>Y</v>
      </c>
      <c r="P650" s="1" t="str">
        <f t="shared" ref="P650:P713" si="224">"Y"</f>
        <v>Y</v>
      </c>
      <c r="Q650" s="1" t="str">
        <f t="shared" si="212"/>
        <v>A</v>
      </c>
    </row>
    <row r="651" spans="1:17" x14ac:dyDescent="0.3">
      <c r="A651" s="1" t="str">
        <f t="shared" si="211"/>
        <v>C2</v>
      </c>
      <c r="B651" s="1" t="str">
        <f>"EKG208"</f>
        <v>EKG208</v>
      </c>
      <c r="C651" s="1" t="str">
        <f>"T파 이상"</f>
        <v>T파 이상</v>
      </c>
      <c r="D651" s="1" t="s">
        <v>202</v>
      </c>
      <c r="E651" s="1" t="str">
        <f t="shared" si="214"/>
        <v>WOK02</v>
      </c>
      <c r="F651" s="1" t="str">
        <f t="shared" si="222"/>
        <v>PTM03</v>
      </c>
      <c r="G651" s="1" t="str">
        <f t="shared" si="219"/>
        <v>DISI</v>
      </c>
      <c r="H651" s="1" t="str">
        <f t="shared" si="220"/>
        <v>REL06</v>
      </c>
      <c r="I651" s="1" t="str">
        <f>""</f>
        <v/>
      </c>
      <c r="J651" s="1" t="str">
        <f t="shared" si="221"/>
        <v>C39C</v>
      </c>
      <c r="K651" s="1" t="str">
        <f t="shared" si="221"/>
        <v>C39C</v>
      </c>
      <c r="L651" s="1" t="str">
        <f t="shared" si="223"/>
        <v>R</v>
      </c>
      <c r="M651" s="1" t="str">
        <f t="shared" si="218"/>
        <v>T03</v>
      </c>
      <c r="N651" s="1" t="str">
        <f t="shared" si="210"/>
        <v>Y</v>
      </c>
      <c r="O651" s="1" t="str">
        <f t="shared" si="207"/>
        <v>Y</v>
      </c>
      <c r="P651" s="1" t="str">
        <f t="shared" si="224"/>
        <v>Y</v>
      </c>
      <c r="Q651" s="1" t="str">
        <f t="shared" si="212"/>
        <v>A</v>
      </c>
    </row>
    <row r="652" spans="1:17" x14ac:dyDescent="0.3">
      <c r="A652" s="1" t="str">
        <f t="shared" si="211"/>
        <v>C2</v>
      </c>
      <c r="B652" s="1" t="str">
        <f>"EKG209"</f>
        <v>EKG209</v>
      </c>
      <c r="C652" s="1" t="str">
        <f>"높은 T파"</f>
        <v>높은 T파</v>
      </c>
      <c r="D652" s="1" t="s">
        <v>203</v>
      </c>
      <c r="E652" s="1" t="str">
        <f t="shared" si="214"/>
        <v>WOK02</v>
      </c>
      <c r="F652" s="1" t="str">
        <f t="shared" si="222"/>
        <v>PTM03</v>
      </c>
      <c r="G652" s="1" t="str">
        <f t="shared" si="219"/>
        <v>DISI</v>
      </c>
      <c r="H652" s="1" t="str">
        <f t="shared" si="220"/>
        <v>REL06</v>
      </c>
      <c r="I652" s="1" t="str">
        <f>""</f>
        <v/>
      </c>
      <c r="J652" s="1" t="str">
        <f t="shared" si="221"/>
        <v>C39C</v>
      </c>
      <c r="K652" s="1" t="str">
        <f t="shared" si="221"/>
        <v>C39C</v>
      </c>
      <c r="L652" s="1" t="str">
        <f t="shared" si="223"/>
        <v>R</v>
      </c>
      <c r="M652" s="1" t="str">
        <f t="shared" si="218"/>
        <v>T03</v>
      </c>
      <c r="N652" s="1" t="str">
        <f t="shared" si="210"/>
        <v>Y</v>
      </c>
      <c r="O652" s="1" t="str">
        <f t="shared" si="207"/>
        <v>Y</v>
      </c>
      <c r="P652" s="1" t="str">
        <f t="shared" si="224"/>
        <v>Y</v>
      </c>
      <c r="Q652" s="1" t="str">
        <f t="shared" si="212"/>
        <v>A</v>
      </c>
    </row>
    <row r="653" spans="1:17" x14ac:dyDescent="0.3">
      <c r="A653" s="1" t="str">
        <f t="shared" si="211"/>
        <v>C2</v>
      </c>
      <c r="B653" s="1" t="str">
        <f>"EKG210"</f>
        <v>EKG210</v>
      </c>
      <c r="C653" s="1" t="str">
        <f>"비특이적 심장 전도 이상"</f>
        <v>비특이적 심장 전도 이상</v>
      </c>
      <c r="D653" s="1" t="s">
        <v>204</v>
      </c>
      <c r="E653" s="1" t="str">
        <f t="shared" si="214"/>
        <v>WOK02</v>
      </c>
      <c r="F653" s="1" t="str">
        <f t="shared" si="222"/>
        <v>PTM03</v>
      </c>
      <c r="G653" s="1" t="str">
        <f t="shared" si="219"/>
        <v>DISI</v>
      </c>
      <c r="H653" s="1" t="str">
        <f t="shared" si="220"/>
        <v>REL06</v>
      </c>
      <c r="I653" s="1" t="str">
        <f>""</f>
        <v/>
      </c>
      <c r="J653" s="1" t="str">
        <f t="shared" si="221"/>
        <v>C39C</v>
      </c>
      <c r="K653" s="1" t="str">
        <f t="shared" si="221"/>
        <v>C39C</v>
      </c>
      <c r="L653" s="1" t="str">
        <f t="shared" si="223"/>
        <v>R</v>
      </c>
      <c r="M653" s="1" t="str">
        <f t="shared" si="218"/>
        <v>T03</v>
      </c>
      <c r="N653" s="1" t="str">
        <f t="shared" si="210"/>
        <v>Y</v>
      </c>
      <c r="O653" s="1" t="str">
        <f t="shared" si="207"/>
        <v>Y</v>
      </c>
      <c r="P653" s="1" t="str">
        <f t="shared" si="224"/>
        <v>Y</v>
      </c>
      <c r="Q653" s="1" t="str">
        <f t="shared" si="212"/>
        <v>A</v>
      </c>
    </row>
    <row r="654" spans="1:17" x14ac:dyDescent="0.3">
      <c r="A654" s="1" t="str">
        <f t="shared" si="211"/>
        <v>C2</v>
      </c>
      <c r="B654" s="1" t="str">
        <f>"EKG211"</f>
        <v>EKG211</v>
      </c>
      <c r="C654" s="1" t="str">
        <f>"짧은 PR 분절"</f>
        <v>짧은 PR 분절</v>
      </c>
      <c r="D654" s="1" t="s">
        <v>205</v>
      </c>
      <c r="E654" s="1" t="str">
        <f t="shared" si="214"/>
        <v>WOK02</v>
      </c>
      <c r="F654" s="1" t="str">
        <f t="shared" si="222"/>
        <v>PTM03</v>
      </c>
      <c r="G654" s="1" t="str">
        <f t="shared" si="219"/>
        <v>DISI</v>
      </c>
      <c r="H654" s="1" t="str">
        <f t="shared" si="220"/>
        <v>REL06</v>
      </c>
      <c r="I654" s="1" t="str">
        <f>""</f>
        <v/>
      </c>
      <c r="J654" s="1" t="str">
        <f t="shared" si="221"/>
        <v>C39C</v>
      </c>
      <c r="K654" s="1" t="str">
        <f t="shared" si="221"/>
        <v>C39C</v>
      </c>
      <c r="L654" s="1" t="str">
        <f t="shared" si="223"/>
        <v>R</v>
      </c>
      <c r="M654" s="1" t="str">
        <f t="shared" si="218"/>
        <v>T03</v>
      </c>
      <c r="N654" s="1" t="str">
        <f t="shared" si="210"/>
        <v>Y</v>
      </c>
      <c r="O654" s="1" t="str">
        <f t="shared" si="207"/>
        <v>Y</v>
      </c>
      <c r="P654" s="1" t="str">
        <f t="shared" si="224"/>
        <v>Y</v>
      </c>
      <c r="Q654" s="1" t="str">
        <f t="shared" si="212"/>
        <v>A</v>
      </c>
    </row>
    <row r="655" spans="1:17" x14ac:dyDescent="0.3">
      <c r="A655" s="1" t="str">
        <f t="shared" si="211"/>
        <v>C2</v>
      </c>
      <c r="B655" s="1" t="str">
        <f>"EKG212"</f>
        <v>EKG212</v>
      </c>
      <c r="C655" s="1" t="str">
        <f>"비특이적 ST-T분절 변화"</f>
        <v>비특이적 ST-T분절 변화</v>
      </c>
      <c r="D655" s="1" t="s">
        <v>202</v>
      </c>
      <c r="E655" s="1" t="str">
        <f t="shared" si="214"/>
        <v>WOK02</v>
      </c>
      <c r="F655" s="1" t="str">
        <f t="shared" si="222"/>
        <v>PTM03</v>
      </c>
      <c r="G655" s="1" t="str">
        <f t="shared" si="219"/>
        <v>DISI</v>
      </c>
      <c r="H655" s="1" t="str">
        <f t="shared" si="220"/>
        <v>REL06</v>
      </c>
      <c r="I655" s="1" t="str">
        <f>""</f>
        <v/>
      </c>
      <c r="J655" s="1" t="str">
        <f t="shared" si="221"/>
        <v>C39C</v>
      </c>
      <c r="K655" s="1" t="str">
        <f t="shared" si="221"/>
        <v>C39C</v>
      </c>
      <c r="L655" s="1" t="str">
        <f t="shared" si="223"/>
        <v>R</v>
      </c>
      <c r="M655" s="1" t="str">
        <f t="shared" si="218"/>
        <v>T03</v>
      </c>
      <c r="N655" s="1" t="str">
        <f t="shared" si="210"/>
        <v>Y</v>
      </c>
      <c r="O655" s="1" t="str">
        <f t="shared" si="207"/>
        <v>Y</v>
      </c>
      <c r="P655" s="1" t="str">
        <f t="shared" si="224"/>
        <v>Y</v>
      </c>
      <c r="Q655" s="1" t="str">
        <f t="shared" si="212"/>
        <v>A</v>
      </c>
    </row>
    <row r="656" spans="1:17" x14ac:dyDescent="0.3">
      <c r="A656" s="1" t="str">
        <f t="shared" si="211"/>
        <v>C2</v>
      </c>
      <c r="B656" s="1" t="str">
        <f>"EKG213"</f>
        <v>EKG213</v>
      </c>
      <c r="C656" s="1" t="str">
        <f>"조기 재분극"</f>
        <v>조기 재분극</v>
      </c>
      <c r="D656" s="1" t="s">
        <v>206</v>
      </c>
      <c r="E656" s="1" t="str">
        <f t="shared" si="214"/>
        <v>WOK02</v>
      </c>
      <c r="F656" s="1" t="str">
        <f t="shared" si="222"/>
        <v>PTM03</v>
      </c>
      <c r="G656" s="1" t="str">
        <f t="shared" si="219"/>
        <v>DISI</v>
      </c>
      <c r="H656" s="1" t="str">
        <f t="shared" si="220"/>
        <v>REL06</v>
      </c>
      <c r="I656" s="1" t="str">
        <f>""</f>
        <v/>
      </c>
      <c r="J656" s="1" t="str">
        <f t="shared" si="221"/>
        <v>C39C</v>
      </c>
      <c r="K656" s="1" t="str">
        <f t="shared" si="221"/>
        <v>C39C</v>
      </c>
      <c r="L656" s="1" t="str">
        <f t="shared" si="223"/>
        <v>R</v>
      </c>
      <c r="M656" s="1" t="str">
        <f t="shared" si="218"/>
        <v>T03</v>
      </c>
      <c r="N656" s="1" t="str">
        <f t="shared" si="210"/>
        <v>Y</v>
      </c>
      <c r="O656" s="1" t="str">
        <f t="shared" si="207"/>
        <v>Y</v>
      </c>
      <c r="P656" s="1" t="str">
        <f t="shared" si="224"/>
        <v>Y</v>
      </c>
      <c r="Q656" s="1" t="str">
        <f t="shared" si="212"/>
        <v>A</v>
      </c>
    </row>
    <row r="657" spans="1:17" x14ac:dyDescent="0.3">
      <c r="A657" s="1" t="str">
        <f t="shared" si="211"/>
        <v>C2</v>
      </c>
      <c r="B657" s="1" t="str">
        <f>"EKG300"</f>
        <v>EKG300</v>
      </c>
      <c r="C657" s="1" t="str">
        <f>"우심방 확장"</f>
        <v>우심방 확장</v>
      </c>
      <c r="D657" s="1" t="s">
        <v>207</v>
      </c>
      <c r="E657" s="1" t="str">
        <f t="shared" si="214"/>
        <v>WOK02</v>
      </c>
      <c r="F657" s="1" t="str">
        <f t="shared" si="222"/>
        <v>PTM03</v>
      </c>
      <c r="G657" s="1" t="str">
        <f t="shared" si="219"/>
        <v>DISI</v>
      </c>
      <c r="H657" s="1" t="str">
        <f t="shared" si="220"/>
        <v>REL06</v>
      </c>
      <c r="I657" s="1" t="str">
        <f>""</f>
        <v/>
      </c>
      <c r="J657" s="1" t="str">
        <f t="shared" si="221"/>
        <v>C39C</v>
      </c>
      <c r="K657" s="1" t="str">
        <f t="shared" si="221"/>
        <v>C39C</v>
      </c>
      <c r="L657" s="1" t="str">
        <f t="shared" si="223"/>
        <v>R</v>
      </c>
      <c r="M657" s="1" t="str">
        <f t="shared" si="218"/>
        <v>T03</v>
      </c>
      <c r="N657" s="1" t="str">
        <f t="shared" si="210"/>
        <v>Y</v>
      </c>
      <c r="O657" s="1" t="str">
        <f t="shared" si="207"/>
        <v>Y</v>
      </c>
      <c r="P657" s="1" t="str">
        <f t="shared" si="224"/>
        <v>Y</v>
      </c>
      <c r="Q657" s="1" t="str">
        <f t="shared" si="212"/>
        <v>A</v>
      </c>
    </row>
    <row r="658" spans="1:17" x14ac:dyDescent="0.3">
      <c r="A658" s="1" t="str">
        <f t="shared" si="211"/>
        <v>C2</v>
      </c>
      <c r="B658" s="1" t="str">
        <f>"EKG303"</f>
        <v>EKG303</v>
      </c>
      <c r="C658" s="1" t="str">
        <f>"심방조기수축"</f>
        <v>심방조기수축</v>
      </c>
      <c r="D658" s="1" t="s">
        <v>208</v>
      </c>
      <c r="E658" s="1" t="str">
        <f t="shared" si="214"/>
        <v>WOK02</v>
      </c>
      <c r="F658" s="1" t="str">
        <f t="shared" si="222"/>
        <v>PTM03</v>
      </c>
      <c r="G658" s="1" t="str">
        <f t="shared" si="219"/>
        <v>DISI</v>
      </c>
      <c r="H658" s="1" t="str">
        <f t="shared" si="220"/>
        <v>REL06</v>
      </c>
      <c r="I658" s="1" t="str">
        <f>""</f>
        <v/>
      </c>
      <c r="J658" s="1" t="str">
        <f t="shared" si="221"/>
        <v>C39C</v>
      </c>
      <c r="K658" s="1" t="str">
        <f t="shared" si="221"/>
        <v>C39C</v>
      </c>
      <c r="L658" s="1" t="str">
        <f t="shared" si="223"/>
        <v>R</v>
      </c>
      <c r="M658" s="1" t="str">
        <f t="shared" si="218"/>
        <v>T03</v>
      </c>
      <c r="N658" s="1" t="str">
        <f t="shared" si="210"/>
        <v>Y</v>
      </c>
      <c r="O658" s="1" t="str">
        <f t="shared" si="207"/>
        <v>Y</v>
      </c>
      <c r="P658" s="1" t="str">
        <f t="shared" si="224"/>
        <v>Y</v>
      </c>
      <c r="Q658" s="1" t="str">
        <f t="shared" si="212"/>
        <v>A</v>
      </c>
    </row>
    <row r="659" spans="1:17" x14ac:dyDescent="0.3">
      <c r="A659" s="1" t="str">
        <f t="shared" si="211"/>
        <v>C2</v>
      </c>
      <c r="B659" s="1" t="str">
        <f>"EKG305"</f>
        <v>EKG305</v>
      </c>
      <c r="C659" s="1" t="str">
        <f>"심실조기수축"</f>
        <v>심실조기수축</v>
      </c>
      <c r="D659" s="1" t="s">
        <v>209</v>
      </c>
      <c r="E659" s="1" t="str">
        <f t="shared" si="214"/>
        <v>WOK02</v>
      </c>
      <c r="F659" s="1" t="str">
        <f t="shared" si="222"/>
        <v>PTM03</v>
      </c>
      <c r="G659" s="1" t="str">
        <f t="shared" si="219"/>
        <v>DISI</v>
      </c>
      <c r="H659" s="1" t="str">
        <f t="shared" si="220"/>
        <v>REL06</v>
      </c>
      <c r="I659" s="1" t="str">
        <f>""</f>
        <v/>
      </c>
      <c r="J659" s="1" t="str">
        <f t="shared" si="221"/>
        <v>C39C</v>
      </c>
      <c r="K659" s="1" t="str">
        <f t="shared" si="221"/>
        <v>C39C</v>
      </c>
      <c r="L659" s="1" t="str">
        <f t="shared" si="223"/>
        <v>R</v>
      </c>
      <c r="M659" s="1" t="str">
        <f t="shared" si="218"/>
        <v>T03</v>
      </c>
      <c r="N659" s="1" t="str">
        <f t="shared" si="210"/>
        <v>Y</v>
      </c>
      <c r="O659" s="1" t="str">
        <f t="shared" si="207"/>
        <v>Y</v>
      </c>
      <c r="P659" s="1" t="str">
        <f t="shared" si="224"/>
        <v>Y</v>
      </c>
      <c r="Q659" s="1" t="str">
        <f t="shared" si="212"/>
        <v>A</v>
      </c>
    </row>
    <row r="660" spans="1:17" x14ac:dyDescent="0.3">
      <c r="A660" s="1" t="str">
        <f t="shared" si="211"/>
        <v>C2</v>
      </c>
      <c r="B660" s="1" t="str">
        <f>"EKG307"</f>
        <v>EKG307</v>
      </c>
      <c r="C660" s="1" t="str">
        <f>"좌각차단"</f>
        <v>좌각차단</v>
      </c>
      <c r="D660" s="1" t="s">
        <v>210</v>
      </c>
      <c r="E660" s="1" t="str">
        <f t="shared" si="214"/>
        <v>WOK02</v>
      </c>
      <c r="F660" s="1" t="str">
        <f t="shared" si="222"/>
        <v>PTM03</v>
      </c>
      <c r="G660" s="1" t="str">
        <f t="shared" si="219"/>
        <v>DISI</v>
      </c>
      <c r="H660" s="1" t="str">
        <f t="shared" si="220"/>
        <v>REL06</v>
      </c>
      <c r="I660" s="1" t="str">
        <f>""</f>
        <v/>
      </c>
      <c r="J660" s="1" t="str">
        <f t="shared" si="221"/>
        <v>C39C</v>
      </c>
      <c r="K660" s="1" t="str">
        <f t="shared" si="221"/>
        <v>C39C</v>
      </c>
      <c r="L660" s="1" t="str">
        <f t="shared" si="223"/>
        <v>R</v>
      </c>
      <c r="M660" s="1" t="str">
        <f t="shared" si="218"/>
        <v>T03</v>
      </c>
      <c r="N660" s="1" t="str">
        <f t="shared" si="210"/>
        <v>Y</v>
      </c>
      <c r="O660" s="1" t="str">
        <f t="shared" si="207"/>
        <v>Y</v>
      </c>
      <c r="P660" s="1" t="str">
        <f t="shared" si="224"/>
        <v>Y</v>
      </c>
      <c r="Q660" s="1" t="str">
        <f t="shared" si="212"/>
        <v>A</v>
      </c>
    </row>
    <row r="661" spans="1:17" x14ac:dyDescent="0.3">
      <c r="A661" s="1" t="str">
        <f t="shared" si="211"/>
        <v>C2</v>
      </c>
      <c r="B661" s="1" t="str">
        <f>"EKG308"</f>
        <v>EKG308</v>
      </c>
      <c r="C661" s="1" t="str">
        <f>"좌전섬유속차단"</f>
        <v>좌전섬유속차단</v>
      </c>
      <c r="D661" s="1" t="str">
        <f>"단독 소견만으로는 큰 임상적 의미 없으나 심방세동 등 심장질환과 연관된 경우 치료가 필요하므로 추적관찰 바랍니다."</f>
        <v>단독 소견만으로는 큰 임상적 의미 없으나 심방세동 등 심장질환과 연관된 경우 치료가 필요하므로 추적관찰 바랍니다.</v>
      </c>
      <c r="E661" s="1" t="str">
        <f t="shared" si="214"/>
        <v>WOK02</v>
      </c>
      <c r="F661" s="1" t="str">
        <f t="shared" si="222"/>
        <v>PTM03</v>
      </c>
      <c r="G661" s="1" t="str">
        <f t="shared" si="219"/>
        <v>DISI</v>
      </c>
      <c r="H661" s="1" t="str">
        <f t="shared" si="220"/>
        <v>REL06</v>
      </c>
      <c r="I661" s="1" t="str">
        <f>""</f>
        <v/>
      </c>
      <c r="J661" s="1" t="str">
        <f t="shared" si="221"/>
        <v>C39C</v>
      </c>
      <c r="K661" s="1" t="str">
        <f t="shared" si="221"/>
        <v>C39C</v>
      </c>
      <c r="L661" s="1" t="str">
        <f t="shared" si="223"/>
        <v>R</v>
      </c>
      <c r="M661" s="1" t="str">
        <f t="shared" si="218"/>
        <v>T03</v>
      </c>
      <c r="N661" s="1" t="str">
        <f t="shared" si="210"/>
        <v>Y</v>
      </c>
      <c r="O661" s="1" t="str">
        <f t="shared" si="207"/>
        <v>Y</v>
      </c>
      <c r="P661" s="1" t="str">
        <f t="shared" si="224"/>
        <v>Y</v>
      </c>
      <c r="Q661" s="1" t="str">
        <f t="shared" si="212"/>
        <v>A</v>
      </c>
    </row>
    <row r="662" spans="1:17" x14ac:dyDescent="0.3">
      <c r="A662" s="1" t="str">
        <f t="shared" si="211"/>
        <v>C2</v>
      </c>
      <c r="B662" s="1" t="str">
        <f>"EKG309"</f>
        <v>EKG309</v>
      </c>
      <c r="C662" s="1" t="str">
        <f>"좌후섬유속차단"</f>
        <v>좌후섬유속차단</v>
      </c>
      <c r="D662" s="1" t="s">
        <v>211</v>
      </c>
      <c r="E662" s="1" t="str">
        <f t="shared" si="214"/>
        <v>WOK02</v>
      </c>
      <c r="F662" s="1" t="str">
        <f t="shared" si="222"/>
        <v>PTM03</v>
      </c>
      <c r="G662" s="1" t="str">
        <f t="shared" si="219"/>
        <v>DISI</v>
      </c>
      <c r="H662" s="1" t="str">
        <f t="shared" si="220"/>
        <v>REL06</v>
      </c>
      <c r="I662" s="1" t="str">
        <f>""</f>
        <v/>
      </c>
      <c r="J662" s="1" t="str">
        <f t="shared" si="221"/>
        <v>C39C</v>
      </c>
      <c r="K662" s="1" t="str">
        <f t="shared" si="221"/>
        <v>C39C</v>
      </c>
      <c r="L662" s="1" t="str">
        <f t="shared" si="223"/>
        <v>R</v>
      </c>
      <c r="M662" s="1" t="str">
        <f t="shared" si="218"/>
        <v>T03</v>
      </c>
      <c r="N662" s="1" t="str">
        <f t="shared" si="210"/>
        <v>Y</v>
      </c>
      <c r="O662" s="1" t="str">
        <f t="shared" si="207"/>
        <v>Y</v>
      </c>
      <c r="P662" s="1" t="str">
        <f t="shared" si="224"/>
        <v>Y</v>
      </c>
      <c r="Q662" s="1" t="str">
        <f t="shared" si="212"/>
        <v>A</v>
      </c>
    </row>
    <row r="663" spans="1:17" x14ac:dyDescent="0.3">
      <c r="A663" s="1" t="str">
        <f t="shared" si="211"/>
        <v>C2</v>
      </c>
      <c r="B663" s="1" t="str">
        <f>"EKG313"</f>
        <v>EKG313</v>
      </c>
      <c r="C663" s="1" t="str">
        <f>"심박동 좌축 편위"</f>
        <v>심박동 좌축 편위</v>
      </c>
      <c r="D663" s="1" t="s">
        <v>212</v>
      </c>
      <c r="E663" s="1" t="str">
        <f t="shared" si="214"/>
        <v>WOK02</v>
      </c>
      <c r="F663" s="1" t="str">
        <f t="shared" si="222"/>
        <v>PTM03</v>
      </c>
      <c r="G663" s="1" t="str">
        <f t="shared" si="219"/>
        <v>DISI</v>
      </c>
      <c r="H663" s="1" t="str">
        <f t="shared" si="220"/>
        <v>REL06</v>
      </c>
      <c r="I663" s="1" t="str">
        <f>""</f>
        <v/>
      </c>
      <c r="J663" s="1" t="str">
        <f t="shared" si="221"/>
        <v>C39C</v>
      </c>
      <c r="K663" s="1" t="str">
        <f t="shared" si="221"/>
        <v>C39C</v>
      </c>
      <c r="L663" s="1" t="str">
        <f t="shared" si="223"/>
        <v>R</v>
      </c>
      <c r="M663" s="1" t="str">
        <f t="shared" si="218"/>
        <v>T03</v>
      </c>
      <c r="N663" s="1" t="str">
        <f t="shared" si="210"/>
        <v>Y</v>
      </c>
      <c r="O663" s="1" t="str">
        <f t="shared" si="207"/>
        <v>Y</v>
      </c>
      <c r="P663" s="1" t="str">
        <f t="shared" si="224"/>
        <v>Y</v>
      </c>
      <c r="Q663" s="1" t="str">
        <f t="shared" si="212"/>
        <v>A</v>
      </c>
    </row>
    <row r="664" spans="1:17" x14ac:dyDescent="0.3">
      <c r="A664" s="1" t="str">
        <f t="shared" si="211"/>
        <v>C2</v>
      </c>
      <c r="B664" s="1" t="str">
        <f>"EKG314"</f>
        <v>EKG314</v>
      </c>
      <c r="C664" s="1" t="str">
        <f>"심박동 편위 이상"</f>
        <v>심박동 편위 이상</v>
      </c>
      <c r="D664" s="1" t="s">
        <v>213</v>
      </c>
      <c r="E664" s="1" t="str">
        <f t="shared" si="214"/>
        <v>WOK02</v>
      </c>
      <c r="F664" s="1" t="str">
        <f t="shared" si="222"/>
        <v>PTM03</v>
      </c>
      <c r="G664" s="1" t="str">
        <f t="shared" si="219"/>
        <v>DISI</v>
      </c>
      <c r="H664" s="1" t="str">
        <f t="shared" si="220"/>
        <v>REL06</v>
      </c>
      <c r="I664" s="1" t="str">
        <f>""</f>
        <v/>
      </c>
      <c r="J664" s="1" t="str">
        <f t="shared" si="221"/>
        <v>C39C</v>
      </c>
      <c r="K664" s="1" t="str">
        <f t="shared" si="221"/>
        <v>C39C</v>
      </c>
      <c r="L664" s="1" t="str">
        <f t="shared" si="223"/>
        <v>R</v>
      </c>
      <c r="M664" s="1" t="str">
        <f t="shared" si="218"/>
        <v>T03</v>
      </c>
      <c r="N664" s="1" t="str">
        <f t="shared" si="210"/>
        <v>Y</v>
      </c>
      <c r="O664" s="1" t="str">
        <f t="shared" si="207"/>
        <v>Y</v>
      </c>
      <c r="P664" s="1" t="str">
        <f t="shared" si="224"/>
        <v>Y</v>
      </c>
      <c r="Q664" s="1" t="str">
        <f t="shared" si="212"/>
        <v>A</v>
      </c>
    </row>
    <row r="665" spans="1:17" x14ac:dyDescent="0.3">
      <c r="A665" s="1" t="str">
        <f t="shared" si="211"/>
        <v>C2</v>
      </c>
      <c r="B665" s="1" t="str">
        <f>"EKG325"</f>
        <v>EKG325</v>
      </c>
      <c r="C665" s="1" t="str">
        <f>"우각차단"</f>
        <v>우각차단</v>
      </c>
      <c r="D665" s="1" t="s">
        <v>201</v>
      </c>
      <c r="E665" s="1" t="str">
        <f t="shared" si="214"/>
        <v>WOK02</v>
      </c>
      <c r="F665" s="1" t="str">
        <f t="shared" si="222"/>
        <v>PTM03</v>
      </c>
      <c r="G665" s="1" t="str">
        <f t="shared" si="219"/>
        <v>DISI</v>
      </c>
      <c r="H665" s="1" t="str">
        <f t="shared" si="220"/>
        <v>REL06</v>
      </c>
      <c r="I665" s="1" t="str">
        <f>""</f>
        <v/>
      </c>
      <c r="J665" s="1" t="str">
        <f t="shared" si="221"/>
        <v>C39C</v>
      </c>
      <c r="K665" s="1" t="str">
        <f t="shared" si="221"/>
        <v>C39C</v>
      </c>
      <c r="L665" s="1" t="str">
        <f t="shared" si="223"/>
        <v>R</v>
      </c>
      <c r="M665" s="1" t="str">
        <f t="shared" si="218"/>
        <v>T03</v>
      </c>
      <c r="N665" s="1" t="str">
        <f t="shared" si="210"/>
        <v>Y</v>
      </c>
      <c r="O665" s="1" t="str">
        <f t="shared" ref="O665:O728" si="225">"Y"</f>
        <v>Y</v>
      </c>
      <c r="P665" s="1" t="str">
        <f t="shared" si="224"/>
        <v>Y</v>
      </c>
      <c r="Q665" s="1" t="str">
        <f t="shared" si="212"/>
        <v>A</v>
      </c>
    </row>
    <row r="666" spans="1:17" x14ac:dyDescent="0.3">
      <c r="A666" s="1" t="str">
        <f t="shared" si="211"/>
        <v>C2</v>
      </c>
      <c r="B666" s="1" t="str">
        <f>"EKG414T"</f>
        <v>EKG414T</v>
      </c>
      <c r="C666" s="1" t="str">
        <f>"인공심장 박동기 부착상태"</f>
        <v>인공심장 박동기 부착상태</v>
      </c>
      <c r="D666" s="1" t="str">
        <f>"정기적으로 심장내과에 내원하여 추적관찰 바랍니다."</f>
        <v>정기적으로 심장내과에 내원하여 추적관찰 바랍니다.</v>
      </c>
      <c r="E666" s="1" t="str">
        <f t="shared" si="214"/>
        <v>WOK02</v>
      </c>
      <c r="F666" s="1" t="str">
        <f t="shared" si="222"/>
        <v>PTM03</v>
      </c>
      <c r="G666" s="1" t="str">
        <f t="shared" si="219"/>
        <v>DISI</v>
      </c>
      <c r="H666" s="1" t="str">
        <f t="shared" si="220"/>
        <v>REL06</v>
      </c>
      <c r="I666" s="1" t="str">
        <f>""</f>
        <v/>
      </c>
      <c r="J666" s="1" t="str">
        <f t="shared" si="221"/>
        <v>C39C</v>
      </c>
      <c r="K666" s="1" t="str">
        <f t="shared" si="221"/>
        <v>C39C</v>
      </c>
      <c r="L666" s="1" t="str">
        <f t="shared" si="223"/>
        <v>R</v>
      </c>
      <c r="M666" s="1" t="str">
        <f t="shared" si="218"/>
        <v>T03</v>
      </c>
      <c r="N666" s="1" t="str">
        <f t="shared" si="210"/>
        <v>Y</v>
      </c>
      <c r="O666" s="1" t="str">
        <f t="shared" si="225"/>
        <v>Y</v>
      </c>
      <c r="P666" s="1" t="str">
        <f t="shared" si="224"/>
        <v>Y</v>
      </c>
      <c r="Q666" s="1" t="str">
        <f t="shared" si="212"/>
        <v>A</v>
      </c>
    </row>
    <row r="667" spans="1:17" x14ac:dyDescent="0.3">
      <c r="A667" s="1" t="str">
        <f t="shared" si="211"/>
        <v>C2</v>
      </c>
      <c r="B667" s="1" t="str">
        <f>"EMP201"</f>
        <v>EMP201</v>
      </c>
      <c r="C667" s="1" t="str">
        <f>"B형간염건강보균자"</f>
        <v>B형간염건강보균자</v>
      </c>
      <c r="D667" s="1" t="s">
        <v>214</v>
      </c>
      <c r="E667" s="1" t="str">
        <f t="shared" si="214"/>
        <v>WOK02</v>
      </c>
      <c r="F667" s="1" t="str">
        <f t="shared" si="222"/>
        <v>PTM03</v>
      </c>
      <c r="G667" s="1" t="str">
        <f>"DISB"</f>
        <v>DISB</v>
      </c>
      <c r="H667" s="1" t="str">
        <f>"REL05"</f>
        <v>REL05</v>
      </c>
      <c r="I667" s="1" t="str">
        <f>""</f>
        <v/>
      </c>
      <c r="J667" s="1" t="str">
        <f>"C32C"</f>
        <v>C32C</v>
      </c>
      <c r="K667" s="1" t="str">
        <f>"C32C"</f>
        <v>C32C</v>
      </c>
      <c r="L667" s="1" t="str">
        <f t="shared" si="223"/>
        <v>R</v>
      </c>
      <c r="M667" s="1" t="str">
        <f>"T02"</f>
        <v>T02</v>
      </c>
      <c r="N667" s="1" t="str">
        <f t="shared" si="210"/>
        <v>Y</v>
      </c>
      <c r="O667" s="1" t="str">
        <f t="shared" si="225"/>
        <v>Y</v>
      </c>
      <c r="P667" s="1" t="str">
        <f t="shared" si="224"/>
        <v>Y</v>
      </c>
      <c r="Q667" s="1" t="str">
        <f t="shared" si="212"/>
        <v>A</v>
      </c>
    </row>
    <row r="668" spans="1:17" x14ac:dyDescent="0.3">
      <c r="A668" s="1" t="str">
        <f t="shared" si="211"/>
        <v>C2</v>
      </c>
      <c r="B668" s="1" t="str">
        <f>"EMP203"</f>
        <v>EMP203</v>
      </c>
      <c r="C668" s="1" t="str">
        <f>"C형간염건강보균자"</f>
        <v>C형간염건강보균자</v>
      </c>
      <c r="D668" s="1" t="s">
        <v>215</v>
      </c>
      <c r="E668" s="1" t="str">
        <f t="shared" si="214"/>
        <v>WOK02</v>
      </c>
      <c r="F668" s="1" t="str">
        <f t="shared" si="222"/>
        <v>PTM03</v>
      </c>
      <c r="G668" s="1" t="str">
        <f>"DISB"</f>
        <v>DISB</v>
      </c>
      <c r="H668" s="1" t="str">
        <f>"REL05"</f>
        <v>REL05</v>
      </c>
      <c r="I668" s="1" t="str">
        <f>""</f>
        <v/>
      </c>
      <c r="J668" s="1" t="str">
        <f>"C05C"</f>
        <v>C05C</v>
      </c>
      <c r="K668" s="1" t="str">
        <f>"C05C"</f>
        <v>C05C</v>
      </c>
      <c r="L668" s="1" t="str">
        <f t="shared" si="223"/>
        <v>R</v>
      </c>
      <c r="M668" s="1" t="str">
        <f>"T02"</f>
        <v>T02</v>
      </c>
      <c r="N668" s="1" t="str">
        <f t="shared" ref="N668:N731" si="226">"Y"</f>
        <v>Y</v>
      </c>
      <c r="O668" s="1" t="str">
        <f t="shared" si="225"/>
        <v>Y</v>
      </c>
      <c r="P668" s="1" t="str">
        <f t="shared" si="224"/>
        <v>Y</v>
      </c>
      <c r="Q668" s="1" t="str">
        <f t="shared" si="212"/>
        <v>A</v>
      </c>
    </row>
    <row r="669" spans="1:17" x14ac:dyDescent="0.3">
      <c r="A669" s="1" t="str">
        <f t="shared" si="211"/>
        <v>C2</v>
      </c>
      <c r="B669" s="1" t="str">
        <f>"EMP204"</f>
        <v>EMP204</v>
      </c>
      <c r="C669" s="1" t="str">
        <f>"악력저하"</f>
        <v>악력저하</v>
      </c>
      <c r="D669" s="1" t="str">
        <f>"원인에 따른 치료가 필요하며 작업시 주의하시기 바랍니다."</f>
        <v>원인에 따른 치료가 필요하며 작업시 주의하시기 바랍니다.</v>
      </c>
      <c r="E669" s="1" t="str">
        <f t="shared" si="214"/>
        <v>WOK02</v>
      </c>
      <c r="F669" s="1" t="str">
        <f t="shared" si="222"/>
        <v>PTM03</v>
      </c>
      <c r="G669" s="1" t="str">
        <f>"DISM"</f>
        <v>DISM</v>
      </c>
      <c r="H669" s="1" t="str">
        <f>"REL22"</f>
        <v>REL22</v>
      </c>
      <c r="I669" s="1" t="str">
        <f>""</f>
        <v/>
      </c>
      <c r="J669" s="1" t="str">
        <f>"C43C"</f>
        <v>C43C</v>
      </c>
      <c r="K669" s="1" t="str">
        <f>"C43C"</f>
        <v>C43C</v>
      </c>
      <c r="L669" s="1" t="str">
        <f t="shared" si="223"/>
        <v>R</v>
      </c>
      <c r="M669" s="1" t="str">
        <f>"T062"</f>
        <v>T062</v>
      </c>
      <c r="N669" s="1" t="str">
        <f t="shared" si="226"/>
        <v>Y</v>
      </c>
      <c r="O669" s="1" t="str">
        <f t="shared" si="225"/>
        <v>Y</v>
      </c>
      <c r="P669" s="1" t="str">
        <f t="shared" si="224"/>
        <v>Y</v>
      </c>
      <c r="Q669" s="1" t="str">
        <f t="shared" si="212"/>
        <v>A</v>
      </c>
    </row>
    <row r="670" spans="1:17" x14ac:dyDescent="0.3">
      <c r="A670" s="1" t="str">
        <f t="shared" si="211"/>
        <v>C2</v>
      </c>
      <c r="B670" s="1" t="str">
        <f>"EMP205"</f>
        <v>EMP205</v>
      </c>
      <c r="C670" s="1" t="str">
        <f>"배근력저하"</f>
        <v>배근력저하</v>
      </c>
      <c r="D670" s="1" t="str">
        <f>"수행할 작업의 종류에 따라 업무적합성평가 필요 합니다."</f>
        <v>수행할 작업의 종류에 따라 업무적합성평가 필요 합니다.</v>
      </c>
      <c r="E670" s="1" t="str">
        <f t="shared" si="214"/>
        <v>WOK02</v>
      </c>
      <c r="F670" s="1" t="str">
        <f t="shared" si="222"/>
        <v>PTM03</v>
      </c>
      <c r="G670" s="1" t="str">
        <f>"DISM"</f>
        <v>DISM</v>
      </c>
      <c r="H670" s="1" t="str">
        <f>"REL22"</f>
        <v>REL22</v>
      </c>
      <c r="I670" s="1" t="str">
        <f>""</f>
        <v/>
      </c>
      <c r="J670" s="1" t="str">
        <f>"C43C"</f>
        <v>C43C</v>
      </c>
      <c r="K670" s="1" t="str">
        <f>"C43C"</f>
        <v>C43C</v>
      </c>
      <c r="L670" s="1" t="str">
        <f t="shared" si="223"/>
        <v>R</v>
      </c>
      <c r="M670" s="1" t="str">
        <f>""</f>
        <v/>
      </c>
      <c r="N670" s="1" t="str">
        <f t="shared" si="226"/>
        <v>Y</v>
      </c>
      <c r="O670" s="1" t="str">
        <f t="shared" si="225"/>
        <v>Y</v>
      </c>
      <c r="P670" s="1" t="str">
        <f t="shared" si="224"/>
        <v>Y</v>
      </c>
      <c r="Q670" s="1" t="str">
        <f t="shared" si="212"/>
        <v>A</v>
      </c>
    </row>
    <row r="671" spans="1:17" x14ac:dyDescent="0.3">
      <c r="A671" s="1" t="str">
        <f t="shared" si="211"/>
        <v>C2</v>
      </c>
      <c r="B671" s="1" t="str">
        <f>"EMP301"</f>
        <v>EMP301</v>
      </c>
      <c r="C671" s="1" t="str">
        <f>"적혈구 감소"</f>
        <v>적혈구 감소</v>
      </c>
      <c r="D671" s="1" t="str">
        <f>"적혈구 수치가 감소하였습니다. 철분 충분히 섭취하고 어지러움 등의 증상 없다면 추적관찰 바랍니다."</f>
        <v>적혈구 수치가 감소하였습니다. 철분 충분히 섭취하고 어지러움 등의 증상 없다면 추적관찰 바랍니다.</v>
      </c>
      <c r="E671" s="1" t="str">
        <f t="shared" si="214"/>
        <v>WOK02</v>
      </c>
      <c r="F671" s="1" t="str">
        <f t="shared" si="222"/>
        <v>PTM03</v>
      </c>
      <c r="G671" s="1" t="str">
        <f>"DISD"</f>
        <v>DISD</v>
      </c>
      <c r="H671" s="1" t="str">
        <f>"REL12"</f>
        <v>REL12</v>
      </c>
      <c r="I671" s="1" t="str">
        <f>""</f>
        <v/>
      </c>
      <c r="J671" s="1" t="str">
        <f>"C08C"</f>
        <v>C08C</v>
      </c>
      <c r="K671" s="1" t="str">
        <f>"C08C"</f>
        <v>C08C</v>
      </c>
      <c r="L671" s="1" t="str">
        <f t="shared" si="223"/>
        <v>R</v>
      </c>
      <c r="M671" s="1" t="str">
        <f>"T01"</f>
        <v>T01</v>
      </c>
      <c r="N671" s="1" t="str">
        <f t="shared" si="226"/>
        <v>Y</v>
      </c>
      <c r="O671" s="1" t="str">
        <f t="shared" si="225"/>
        <v>Y</v>
      </c>
      <c r="P671" s="1" t="str">
        <f t="shared" si="224"/>
        <v>Y</v>
      </c>
      <c r="Q671" s="1" t="str">
        <f t="shared" si="212"/>
        <v>A</v>
      </c>
    </row>
    <row r="672" spans="1:17" x14ac:dyDescent="0.3">
      <c r="A672" s="1" t="str">
        <f t="shared" ref="A672:A735" si="227">"C2"</f>
        <v>C2</v>
      </c>
      <c r="B672" s="1" t="str">
        <f>"EMP303"</f>
        <v>EMP303</v>
      </c>
      <c r="C672" s="1" t="str">
        <f>"간 질환주의"</f>
        <v>간 질환주의</v>
      </c>
      <c r="D672" s="1" t="str">
        <f>"음주를 삼가 하시고 정기적인 간기능검사 받으세요."</f>
        <v>음주를 삼가 하시고 정기적인 간기능검사 받으세요.</v>
      </c>
      <c r="E672" s="1" t="str">
        <f t="shared" si="214"/>
        <v>WOK02</v>
      </c>
      <c r="F672" s="1" t="str">
        <f>"PTM033"</f>
        <v>PTM033</v>
      </c>
      <c r="G672" s="1" t="str">
        <f>"DISK"</f>
        <v>DISK</v>
      </c>
      <c r="H672" s="1" t="str">
        <f>"REL05"</f>
        <v>REL05</v>
      </c>
      <c r="I672" s="1" t="str">
        <f>""</f>
        <v/>
      </c>
      <c r="J672" s="1" t="str">
        <f>"C05C"</f>
        <v>C05C</v>
      </c>
      <c r="K672" s="1" t="str">
        <f>"C05C"</f>
        <v>C05C</v>
      </c>
      <c r="L672" s="1" t="str">
        <f t="shared" si="223"/>
        <v>R</v>
      </c>
      <c r="M672" s="1" t="str">
        <f>"T02"</f>
        <v>T02</v>
      </c>
      <c r="N672" s="1" t="str">
        <f t="shared" si="226"/>
        <v>Y</v>
      </c>
      <c r="O672" s="1" t="str">
        <f t="shared" si="225"/>
        <v>Y</v>
      </c>
      <c r="P672" s="1" t="str">
        <f t="shared" si="224"/>
        <v>Y</v>
      </c>
      <c r="Q672" s="1" t="str">
        <f t="shared" si="212"/>
        <v>A</v>
      </c>
    </row>
    <row r="673" spans="1:17" x14ac:dyDescent="0.3">
      <c r="A673" s="1" t="str">
        <f t="shared" si="227"/>
        <v>C2</v>
      </c>
      <c r="B673" s="1" t="str">
        <f>"EMP305"</f>
        <v>EMP305</v>
      </c>
      <c r="C673" s="1" t="str">
        <f>"단백뇨주의"</f>
        <v>단백뇨주의</v>
      </c>
      <c r="D673" s="1" t="s">
        <v>216</v>
      </c>
      <c r="E673" s="1" t="str">
        <f t="shared" si="214"/>
        <v>WOK02</v>
      </c>
      <c r="F673" s="1" t="str">
        <f>"PTM033"</f>
        <v>PTM033</v>
      </c>
      <c r="G673" s="1" t="str">
        <f>"DISN"</f>
        <v>DISN</v>
      </c>
      <c r="H673" s="1" t="str">
        <f>"REL08"</f>
        <v>REL08</v>
      </c>
      <c r="I673" s="1" t="str">
        <f>""</f>
        <v/>
      </c>
      <c r="J673" s="1" t="str">
        <f>"C07C"</f>
        <v>C07C</v>
      </c>
      <c r="K673" s="1" t="str">
        <f>"C07C"</f>
        <v>C07C</v>
      </c>
      <c r="L673" s="1" t="str">
        <f t="shared" si="223"/>
        <v>R</v>
      </c>
      <c r="M673" s="1" t="str">
        <f>"T05"</f>
        <v>T05</v>
      </c>
      <c r="N673" s="1" t="str">
        <f t="shared" si="226"/>
        <v>Y</v>
      </c>
      <c r="O673" s="1" t="str">
        <f t="shared" si="225"/>
        <v>Y</v>
      </c>
      <c r="P673" s="1" t="str">
        <f t="shared" si="224"/>
        <v>Y</v>
      </c>
      <c r="Q673" s="1" t="str">
        <f t="shared" si="212"/>
        <v>A</v>
      </c>
    </row>
    <row r="674" spans="1:17" x14ac:dyDescent="0.3">
      <c r="A674" s="1" t="str">
        <f t="shared" si="227"/>
        <v>C2</v>
      </c>
      <c r="B674" s="1" t="str">
        <f>"EMP306"</f>
        <v>EMP306</v>
      </c>
      <c r="C674" s="1" t="str">
        <f>"혈뇨주의"</f>
        <v>혈뇨주의</v>
      </c>
      <c r="D674" s="1" t="s">
        <v>217</v>
      </c>
      <c r="E674" s="1" t="str">
        <f t="shared" si="214"/>
        <v>WOK02</v>
      </c>
      <c r="F674" s="1" t="str">
        <f>"PTM03"</f>
        <v>PTM03</v>
      </c>
      <c r="G674" s="1" t="str">
        <f>"DISN"</f>
        <v>DISN</v>
      </c>
      <c r="H674" s="1" t="str">
        <f>"REL09"</f>
        <v>REL09</v>
      </c>
      <c r="I674" s="1" t="str">
        <f>""</f>
        <v/>
      </c>
      <c r="J674" s="1" t="str">
        <f>"C44C"</f>
        <v>C44C</v>
      </c>
      <c r="K674" s="1" t="str">
        <f>"C44C"</f>
        <v>C44C</v>
      </c>
      <c r="L674" s="1" t="str">
        <f t="shared" si="223"/>
        <v>R</v>
      </c>
      <c r="M674" s="1" t="str">
        <f>"T05"</f>
        <v>T05</v>
      </c>
      <c r="N674" s="1" t="str">
        <f t="shared" si="226"/>
        <v>Y</v>
      </c>
      <c r="O674" s="1" t="str">
        <f t="shared" si="225"/>
        <v>Y</v>
      </c>
      <c r="P674" s="1" t="str">
        <f t="shared" si="224"/>
        <v>Y</v>
      </c>
      <c r="Q674" s="1" t="str">
        <f t="shared" ref="Q674:Q737" si="228">"A"</f>
        <v>A</v>
      </c>
    </row>
    <row r="675" spans="1:17" x14ac:dyDescent="0.3">
      <c r="A675" s="1" t="str">
        <f t="shared" si="227"/>
        <v>C2</v>
      </c>
      <c r="B675" s="1" t="str">
        <f>"EMP308"</f>
        <v>EMP308</v>
      </c>
      <c r="C675" s="1" t="str">
        <f>"고지혈증 주의"</f>
        <v>고지혈증 주의</v>
      </c>
      <c r="D675" s="1" t="s">
        <v>83</v>
      </c>
      <c r="E675" s="1" t="str">
        <f t="shared" si="214"/>
        <v>WOK02</v>
      </c>
      <c r="F675" s="1" t="str">
        <f>"PTM01"</f>
        <v>PTM01</v>
      </c>
      <c r="G675" s="1" t="str">
        <f>"DISE"</f>
        <v>DISE</v>
      </c>
      <c r="H675" s="1" t="str">
        <f>"REL04"</f>
        <v>REL04</v>
      </c>
      <c r="I675" s="1" t="str">
        <f>""</f>
        <v/>
      </c>
      <c r="J675" s="1" t="str">
        <f>"C04C"</f>
        <v>C04C</v>
      </c>
      <c r="K675" s="1" t="str">
        <f>"C04C"</f>
        <v>C04C</v>
      </c>
      <c r="L675" s="1" t="str">
        <f t="shared" si="223"/>
        <v>R</v>
      </c>
      <c r="M675" s="1" t="str">
        <f>"T03"</f>
        <v>T03</v>
      </c>
      <c r="N675" s="1" t="str">
        <f t="shared" si="226"/>
        <v>Y</v>
      </c>
      <c r="O675" s="1" t="str">
        <f t="shared" si="225"/>
        <v>Y</v>
      </c>
      <c r="P675" s="1" t="str">
        <f t="shared" si="224"/>
        <v>Y</v>
      </c>
      <c r="Q675" s="1" t="str">
        <f t="shared" si="228"/>
        <v>A</v>
      </c>
    </row>
    <row r="676" spans="1:17" x14ac:dyDescent="0.3">
      <c r="A676" s="1" t="str">
        <f t="shared" si="227"/>
        <v>C2</v>
      </c>
      <c r="B676" s="1" t="str">
        <f>"EMP420"</f>
        <v>EMP420</v>
      </c>
      <c r="C676" s="1" t="str">
        <f>"비정형 림프구"</f>
        <v>비정형 림프구</v>
      </c>
      <c r="D676" s="1" t="str">
        <f>"혈액도말검사에서 비정상적인 모양을 가진 림프구(백혈구)가 보입니다. 정확한 건강상태 확인을 위해 혈액내과 진료가 필요합니다."</f>
        <v>혈액도말검사에서 비정상적인 모양을 가진 림프구(백혈구)가 보입니다. 정확한 건강상태 확인을 위해 혈액내과 진료가 필요합니다.</v>
      </c>
      <c r="E676" s="1" t="str">
        <f t="shared" si="214"/>
        <v>WOK02</v>
      </c>
      <c r="F676" s="1" t="str">
        <f>""</f>
        <v/>
      </c>
      <c r="G676" s="1" t="str">
        <f>""</f>
        <v/>
      </c>
      <c r="H676" s="1" t="str">
        <f>"REL12"</f>
        <v>REL12</v>
      </c>
      <c r="I676" s="1" t="str">
        <f>""</f>
        <v/>
      </c>
      <c r="J676" s="1" t="str">
        <f>"C34C"</f>
        <v>C34C</v>
      </c>
      <c r="K676" s="1" t="str">
        <f>"C34C"</f>
        <v>C34C</v>
      </c>
      <c r="L676" s="1" t="str">
        <f t="shared" si="223"/>
        <v>R</v>
      </c>
      <c r="M676" s="1" t="str">
        <f>"T01"</f>
        <v>T01</v>
      </c>
      <c r="N676" s="1" t="str">
        <f t="shared" si="226"/>
        <v>Y</v>
      </c>
      <c r="O676" s="1" t="str">
        <f t="shared" si="225"/>
        <v>Y</v>
      </c>
      <c r="P676" s="1" t="str">
        <f t="shared" si="224"/>
        <v>Y</v>
      </c>
      <c r="Q676" s="1" t="str">
        <f t="shared" si="228"/>
        <v>A</v>
      </c>
    </row>
    <row r="677" spans="1:17" x14ac:dyDescent="0.3">
      <c r="A677" s="1" t="str">
        <f t="shared" si="227"/>
        <v>C2</v>
      </c>
      <c r="B677" s="1" t="str">
        <f>"EMPX02"</f>
        <v>EMPX02</v>
      </c>
      <c r="C677" s="1" t="str">
        <f>"폐결핵 의증"</f>
        <v>폐결핵 의증</v>
      </c>
      <c r="D677" s="1" t="str">
        <f>"폐결핵 의심됩니다. 정확한 진단 및 치료를 위해 호흡기내과 진료를 요합니다."</f>
        <v>폐결핵 의심됩니다. 정확한 진단 및 치료를 위해 호흡기내과 진료를 요합니다.</v>
      </c>
      <c r="E677" s="1" t="str">
        <f t="shared" si="214"/>
        <v>WOK02</v>
      </c>
      <c r="F677" s="1" t="str">
        <f>"PTM01"</f>
        <v>PTM01</v>
      </c>
      <c r="G677" s="1" t="str">
        <f>"DISJ"</f>
        <v>DISJ</v>
      </c>
      <c r="H677" s="1" t="str">
        <f>"REL02"</f>
        <v>REL02</v>
      </c>
      <c r="I677" s="1" t="str">
        <f>""</f>
        <v/>
      </c>
      <c r="J677" s="1" t="str">
        <f>"C01C"</f>
        <v>C01C</v>
      </c>
      <c r="K677" s="1" t="str">
        <f>"C01D"</f>
        <v>C01D</v>
      </c>
      <c r="L677" s="1" t="str">
        <f t="shared" si="223"/>
        <v>R</v>
      </c>
      <c r="M677" s="1" t="str">
        <f>"T04"</f>
        <v>T04</v>
      </c>
      <c r="N677" s="1" t="str">
        <f t="shared" si="226"/>
        <v>Y</v>
      </c>
      <c r="O677" s="1" t="str">
        <f t="shared" si="225"/>
        <v>Y</v>
      </c>
      <c r="P677" s="1" t="str">
        <f t="shared" si="224"/>
        <v>Y</v>
      </c>
      <c r="Q677" s="1" t="str">
        <f t="shared" si="228"/>
        <v>A</v>
      </c>
    </row>
    <row r="678" spans="1:17" x14ac:dyDescent="0.3">
      <c r="A678" s="1" t="str">
        <f t="shared" si="227"/>
        <v>C2</v>
      </c>
      <c r="B678" s="1" t="str">
        <f>"EMPX16"</f>
        <v>EMPX16</v>
      </c>
      <c r="C678" s="1" t="str">
        <f>"척추수술흔적(척추내 고정술)"</f>
        <v>척추수술흔적(척추내 고정술)</v>
      </c>
      <c r="D678" s="1" t="str">
        <f>"일반작업은 가능하며 중량물 및 고강도 작업은 주의하세요."</f>
        <v>일반작업은 가능하며 중량물 및 고강도 작업은 주의하세요.</v>
      </c>
      <c r="E678" s="1" t="str">
        <f t="shared" si="214"/>
        <v>WOK02</v>
      </c>
      <c r="F678" s="1" t="str">
        <f>"PTM01"</f>
        <v>PTM01</v>
      </c>
      <c r="G678" s="1" t="str">
        <f>"DISM"</f>
        <v>DISM</v>
      </c>
      <c r="H678" s="1" t="str">
        <f>"REL22"</f>
        <v>REL22</v>
      </c>
      <c r="I678" s="1" t="str">
        <f>""</f>
        <v/>
      </c>
      <c r="J678" s="1" t="str">
        <f>"C43C"</f>
        <v>C43C</v>
      </c>
      <c r="K678" s="1" t="str">
        <f>"C43C"</f>
        <v>C43C</v>
      </c>
      <c r="L678" s="1" t="str">
        <f t="shared" si="223"/>
        <v>R</v>
      </c>
      <c r="M678" s="1" t="str">
        <f>""</f>
        <v/>
      </c>
      <c r="N678" s="1" t="str">
        <f t="shared" si="226"/>
        <v>Y</v>
      </c>
      <c r="O678" s="1" t="str">
        <f t="shared" si="225"/>
        <v>Y</v>
      </c>
      <c r="P678" s="1" t="str">
        <f t="shared" si="224"/>
        <v>Y</v>
      </c>
      <c r="Q678" s="1" t="str">
        <f t="shared" si="228"/>
        <v>A</v>
      </c>
    </row>
    <row r="679" spans="1:17" x14ac:dyDescent="0.3">
      <c r="A679" s="1" t="str">
        <f t="shared" si="227"/>
        <v>C2</v>
      </c>
      <c r="B679" s="1" t="str">
        <f>"ET001"</f>
        <v>ET001</v>
      </c>
      <c r="C679" s="1" t="str">
        <f>"(치주상태)출혈"</f>
        <v>(치주상태)출혈</v>
      </c>
      <c r="D679" s="1" t="s">
        <v>218</v>
      </c>
      <c r="E679" s="1" t="str">
        <f t="shared" si="214"/>
        <v>WOK02</v>
      </c>
      <c r="F679" s="1" t="str">
        <f>"PTM01"</f>
        <v>PTM01</v>
      </c>
      <c r="G679" s="1" t="str">
        <f>"DISR"</f>
        <v>DISR</v>
      </c>
      <c r="H679" s="1" t="str">
        <f>"REL00"</f>
        <v>REL00</v>
      </c>
      <c r="I679" s="1" t="str">
        <f>""</f>
        <v/>
      </c>
      <c r="J679" s="1" t="str">
        <f t="shared" ref="J679:K681" si="229">"C30C"</f>
        <v>C30C</v>
      </c>
      <c r="K679" s="1" t="str">
        <f t="shared" si="229"/>
        <v>C30C</v>
      </c>
      <c r="L679" s="1" t="str">
        <f t="shared" si="223"/>
        <v>R</v>
      </c>
      <c r="M679" s="1" t="str">
        <f>"T11"</f>
        <v>T11</v>
      </c>
      <c r="N679" s="1" t="str">
        <f t="shared" si="226"/>
        <v>Y</v>
      </c>
      <c r="O679" s="1" t="str">
        <f t="shared" si="225"/>
        <v>Y</v>
      </c>
      <c r="P679" s="1" t="str">
        <f t="shared" si="224"/>
        <v>Y</v>
      </c>
      <c r="Q679" s="1" t="str">
        <f t="shared" si="228"/>
        <v>A</v>
      </c>
    </row>
    <row r="680" spans="1:17" x14ac:dyDescent="0.3">
      <c r="A680" s="1" t="str">
        <f t="shared" si="227"/>
        <v>C2</v>
      </c>
      <c r="B680" s="1" t="str">
        <f>"ET003"</f>
        <v>ET003</v>
      </c>
      <c r="C680" s="1" t="str">
        <f>"(치주상태)전치주낭형성"</f>
        <v>(치주상태)전치주낭형성</v>
      </c>
      <c r="D680" s="1" t="s">
        <v>219</v>
      </c>
      <c r="E680" s="1" t="str">
        <f t="shared" si="214"/>
        <v>WOK02</v>
      </c>
      <c r="F680" s="1" t="str">
        <f>"PTM01"</f>
        <v>PTM01</v>
      </c>
      <c r="G680" s="1" t="str">
        <f>"DISR"</f>
        <v>DISR</v>
      </c>
      <c r="H680" s="1" t="str">
        <f>"REL00"</f>
        <v>REL00</v>
      </c>
      <c r="I680" s="1" t="str">
        <f>""</f>
        <v/>
      </c>
      <c r="J680" s="1" t="str">
        <f t="shared" si="229"/>
        <v>C30C</v>
      </c>
      <c r="K680" s="1" t="str">
        <f t="shared" si="229"/>
        <v>C30C</v>
      </c>
      <c r="L680" s="1" t="str">
        <f t="shared" si="223"/>
        <v>R</v>
      </c>
      <c r="M680" s="1" t="str">
        <f>"T11"</f>
        <v>T11</v>
      </c>
      <c r="N680" s="1" t="str">
        <f t="shared" si="226"/>
        <v>Y</v>
      </c>
      <c r="O680" s="1" t="str">
        <f t="shared" si="225"/>
        <v>Y</v>
      </c>
      <c r="P680" s="1" t="str">
        <f t="shared" si="224"/>
        <v>Y</v>
      </c>
      <c r="Q680" s="1" t="str">
        <f t="shared" si="228"/>
        <v>A</v>
      </c>
    </row>
    <row r="681" spans="1:17" x14ac:dyDescent="0.3">
      <c r="A681" s="1" t="str">
        <f t="shared" si="227"/>
        <v>C2</v>
      </c>
      <c r="B681" s="1" t="str">
        <f>"ET004"</f>
        <v>ET004</v>
      </c>
      <c r="C681" s="1" t="str">
        <f>"(치주상태)심치주낭형성"</f>
        <v>(치주상태)심치주낭형성</v>
      </c>
      <c r="D681" s="1" t="s">
        <v>220</v>
      </c>
      <c r="E681" s="1" t="str">
        <f t="shared" si="214"/>
        <v>WOK02</v>
      </c>
      <c r="F681" s="1" t="str">
        <f>"PTM01"</f>
        <v>PTM01</v>
      </c>
      <c r="G681" s="1" t="str">
        <f>"DISR"</f>
        <v>DISR</v>
      </c>
      <c r="H681" s="1" t="str">
        <f>"REL00"</f>
        <v>REL00</v>
      </c>
      <c r="I681" s="1" t="str">
        <f>""</f>
        <v/>
      </c>
      <c r="J681" s="1" t="str">
        <f t="shared" si="229"/>
        <v>C30C</v>
      </c>
      <c r="K681" s="1" t="str">
        <f t="shared" si="229"/>
        <v>C30C</v>
      </c>
      <c r="L681" s="1" t="str">
        <f t="shared" si="223"/>
        <v>R</v>
      </c>
      <c r="M681" s="1" t="str">
        <f>"T11"</f>
        <v>T11</v>
      </c>
      <c r="N681" s="1" t="str">
        <f t="shared" si="226"/>
        <v>Y</v>
      </c>
      <c r="O681" s="1" t="str">
        <f t="shared" si="225"/>
        <v>Y</v>
      </c>
      <c r="P681" s="1" t="str">
        <f t="shared" si="224"/>
        <v>Y</v>
      </c>
      <c r="Q681" s="1" t="str">
        <f t="shared" si="228"/>
        <v>A</v>
      </c>
    </row>
    <row r="682" spans="1:17" x14ac:dyDescent="0.3">
      <c r="A682" s="1" t="str">
        <f t="shared" si="227"/>
        <v>C2</v>
      </c>
      <c r="B682" s="1" t="str">
        <f>"FEMP407"</f>
        <v>FEMP407</v>
      </c>
      <c r="C682" s="1" t="str">
        <f>"신장질환(의심)"</f>
        <v>신장질환(의심)</v>
      </c>
      <c r="D682" s="1" t="str">
        <f>"신장질환(단백뇨 양성)에 대한 정밀진단검진을 받으세요."</f>
        <v>신장질환(단백뇨 양성)에 대한 정밀진단검진을 받으세요.</v>
      </c>
      <c r="E682" s="1" t="str">
        <f t="shared" si="214"/>
        <v>WOK02</v>
      </c>
      <c r="F682" s="1" t="str">
        <f>"PTF03"</f>
        <v>PTF03</v>
      </c>
      <c r="G682" s="1" t="str">
        <f>"DISN"</f>
        <v>DISN</v>
      </c>
      <c r="H682" s="1" t="str">
        <f>"REL08"</f>
        <v>REL08</v>
      </c>
      <c r="I682" s="1" t="str">
        <f>""</f>
        <v/>
      </c>
      <c r="J682" s="1" t="str">
        <f>"C07R"</f>
        <v>C07R</v>
      </c>
      <c r="K682" s="1" t="str">
        <f>"C07R"</f>
        <v>C07R</v>
      </c>
      <c r="L682" s="1" t="str">
        <f t="shared" si="223"/>
        <v>R</v>
      </c>
      <c r="M682" s="1" t="str">
        <f>"T05"</f>
        <v>T05</v>
      </c>
      <c r="N682" s="1" t="str">
        <f t="shared" si="226"/>
        <v>Y</v>
      </c>
      <c r="O682" s="1" t="str">
        <f t="shared" si="225"/>
        <v>Y</v>
      </c>
      <c r="P682" s="1" t="str">
        <f t="shared" si="224"/>
        <v>Y</v>
      </c>
      <c r="Q682" s="1" t="str">
        <f t="shared" si="228"/>
        <v>A</v>
      </c>
    </row>
    <row r="683" spans="1:17" x14ac:dyDescent="0.3">
      <c r="A683" s="1" t="str">
        <f t="shared" si="227"/>
        <v>C2</v>
      </c>
      <c r="B683" s="1" t="str">
        <f>"FER301"</f>
        <v>FER301</v>
      </c>
      <c r="C683" s="1" t="str">
        <f>"ferritin 상승"</f>
        <v>ferritin 상승</v>
      </c>
      <c r="D683" s="1" t="str">
        <f>"혈청 ferritin 은 백혈병이나 고형암( 간암  췌장암  폐암 등)의 종양 표지자로서의 의미가 있으나 수혈여부 간장애여부  염증  철분제제 복용 등으로도 증가할 수도 있으므로 혈액종양 내과 추적 관리 요합니다."</f>
        <v>혈청 ferritin 은 백혈병이나 고형암( 간암  췌장암  폐암 등)의 종양 표지자로서의 의미가 있으나 수혈여부 간장애여부  염증  철분제제 복용 등으로도 증가할 수도 있으므로 혈액종양 내과 추적 관리 요합니다.</v>
      </c>
      <c r="E683" s="1" t="str">
        <f t="shared" si="214"/>
        <v>WOK02</v>
      </c>
      <c r="F683" s="1" t="str">
        <f>"PTM01"</f>
        <v>PTM01</v>
      </c>
      <c r="G683" s="1" t="str">
        <f>"DISD"</f>
        <v>DISD</v>
      </c>
      <c r="H683" s="1" t="str">
        <f>"REL12"</f>
        <v>REL12</v>
      </c>
      <c r="I683" s="1" t="str">
        <f>""</f>
        <v/>
      </c>
      <c r="J683" s="1" t="str">
        <f>"C34C"</f>
        <v>C34C</v>
      </c>
      <c r="K683" s="1" t="str">
        <f>"C34C"</f>
        <v>C34C</v>
      </c>
      <c r="L683" s="1" t="str">
        <f t="shared" si="223"/>
        <v>R</v>
      </c>
      <c r="M683" s="1" t="str">
        <f>"T01"</f>
        <v>T01</v>
      </c>
      <c r="N683" s="1" t="str">
        <f t="shared" si="226"/>
        <v>Y</v>
      </c>
      <c r="O683" s="1" t="str">
        <f t="shared" si="225"/>
        <v>Y</v>
      </c>
      <c r="P683" s="1" t="str">
        <f t="shared" si="224"/>
        <v>Y</v>
      </c>
      <c r="Q683" s="1" t="str">
        <f t="shared" si="228"/>
        <v>A</v>
      </c>
    </row>
    <row r="684" spans="1:17" x14ac:dyDescent="0.3">
      <c r="A684" s="1" t="str">
        <f t="shared" si="227"/>
        <v>C2</v>
      </c>
      <c r="B684" s="1" t="str">
        <f>"FER302"</f>
        <v>FER302</v>
      </c>
      <c r="C684" s="1" t="str">
        <f>"ferritin 감소"</f>
        <v>ferritin 감소</v>
      </c>
      <c r="D684" s="1" t="str">
        <f>"체내 저장철의 감소를 의미하며 철분이 많은 음식 섭취를 권합니다."</f>
        <v>체내 저장철의 감소를 의미하며 철분이 많은 음식 섭취를 권합니다.</v>
      </c>
      <c r="E684" s="1" t="str">
        <f t="shared" si="214"/>
        <v>WOK02</v>
      </c>
      <c r="F684" s="1" t="str">
        <f>"PTM01"</f>
        <v>PTM01</v>
      </c>
      <c r="G684" s="1" t="str">
        <f>"DISD"</f>
        <v>DISD</v>
      </c>
      <c r="H684" s="1" t="str">
        <f>"REL12"</f>
        <v>REL12</v>
      </c>
      <c r="I684" s="1" t="str">
        <f>""</f>
        <v/>
      </c>
      <c r="J684" s="1" t="str">
        <f>"C34C"</f>
        <v>C34C</v>
      </c>
      <c r="K684" s="1" t="str">
        <f>"C34C"</f>
        <v>C34C</v>
      </c>
      <c r="L684" s="1" t="str">
        <f t="shared" si="223"/>
        <v>R</v>
      </c>
      <c r="M684" s="1" t="str">
        <f>"T01"</f>
        <v>T01</v>
      </c>
      <c r="N684" s="1" t="str">
        <f t="shared" si="226"/>
        <v>Y</v>
      </c>
      <c r="O684" s="1" t="str">
        <f t="shared" si="225"/>
        <v>Y</v>
      </c>
      <c r="P684" s="1" t="str">
        <f t="shared" si="224"/>
        <v>Y</v>
      </c>
      <c r="Q684" s="1" t="str">
        <f t="shared" si="228"/>
        <v>A</v>
      </c>
    </row>
    <row r="685" spans="1:17" x14ac:dyDescent="0.3">
      <c r="A685" s="1" t="str">
        <f t="shared" si="227"/>
        <v>C2</v>
      </c>
      <c r="B685" s="1" t="str">
        <f>"FLUCA02"</f>
        <v>FLUCA02</v>
      </c>
      <c r="C685" s="1" t="str">
        <f>"폐결절 의증"</f>
        <v>폐결절 의증</v>
      </c>
      <c r="D685" s="1" t="s">
        <v>134</v>
      </c>
      <c r="E685" s="1" t="str">
        <f t="shared" si="214"/>
        <v>WOK02</v>
      </c>
      <c r="F685" s="1" t="str">
        <f>"PTF01"</f>
        <v>PTF01</v>
      </c>
      <c r="G685" s="1" t="str">
        <f>"DISJ"</f>
        <v>DISJ</v>
      </c>
      <c r="H685" s="1" t="str">
        <f>"REL02"</f>
        <v>REL02</v>
      </c>
      <c r="I685" s="1" t="str">
        <f>""</f>
        <v/>
      </c>
      <c r="J685" s="1" t="str">
        <f>"C02C"</f>
        <v>C02C</v>
      </c>
      <c r="K685" s="1" t="str">
        <f>"C02C"</f>
        <v>C02C</v>
      </c>
      <c r="L685" s="1" t="str">
        <f t="shared" si="223"/>
        <v>R</v>
      </c>
      <c r="M685" s="1" t="str">
        <f>"T04"</f>
        <v>T04</v>
      </c>
      <c r="N685" s="1" t="str">
        <f t="shared" si="226"/>
        <v>Y</v>
      </c>
      <c r="O685" s="1" t="str">
        <f t="shared" si="225"/>
        <v>Y</v>
      </c>
      <c r="P685" s="1" t="str">
        <f t="shared" si="224"/>
        <v>Y</v>
      </c>
      <c r="Q685" s="1" t="str">
        <f t="shared" si="228"/>
        <v>A</v>
      </c>
    </row>
    <row r="686" spans="1:17" x14ac:dyDescent="0.3">
      <c r="A686" s="1" t="str">
        <f t="shared" si="227"/>
        <v>C2</v>
      </c>
      <c r="B686" s="1" t="str">
        <f>"FLUCA03"</f>
        <v>FLUCA03</v>
      </c>
      <c r="C686" s="1" t="str">
        <f>"폐종양의심"</f>
        <v>폐종양의심</v>
      </c>
      <c r="D686" s="1" t="str">
        <f>"저선량 폐CT 검사 상 폐종양이 의심됩니다. 폐질환에 대한 진단을 위해 호흡기내과 진료를 요합니다."</f>
        <v>저선량 폐CT 검사 상 폐종양이 의심됩니다. 폐질환에 대한 진단을 위해 호흡기내과 진료를 요합니다.</v>
      </c>
      <c r="E686" s="1" t="str">
        <f t="shared" si="214"/>
        <v>WOK02</v>
      </c>
      <c r="F686" s="1" t="str">
        <f>"PTF03"</f>
        <v>PTF03</v>
      </c>
      <c r="G686" s="1" t="str">
        <f>"DISJ"</f>
        <v>DISJ</v>
      </c>
      <c r="H686" s="1" t="str">
        <f>"REL02"</f>
        <v>REL02</v>
      </c>
      <c r="I686" s="1" t="str">
        <f>""</f>
        <v/>
      </c>
      <c r="J686" s="1" t="str">
        <f>"C40C"</f>
        <v>C40C</v>
      </c>
      <c r="K686" s="1" t="str">
        <f>"C40C"</f>
        <v>C40C</v>
      </c>
      <c r="L686" s="1" t="str">
        <f t="shared" si="223"/>
        <v>R</v>
      </c>
      <c r="M686" s="1" t="str">
        <f>"T04"</f>
        <v>T04</v>
      </c>
      <c r="N686" s="1" t="str">
        <f t="shared" si="226"/>
        <v>Y</v>
      </c>
      <c r="O686" s="1" t="str">
        <f t="shared" si="225"/>
        <v>Y</v>
      </c>
      <c r="P686" s="1" t="str">
        <f t="shared" si="224"/>
        <v>Y</v>
      </c>
      <c r="Q686" s="1" t="str">
        <f t="shared" si="228"/>
        <v>A</v>
      </c>
    </row>
    <row r="687" spans="1:17" x14ac:dyDescent="0.3">
      <c r="A687" s="1" t="str">
        <f t="shared" si="227"/>
        <v>C2</v>
      </c>
      <c r="B687" s="1" t="str">
        <f>"FLUCA04"</f>
        <v>FLUCA04</v>
      </c>
      <c r="C687" s="1" t="str">
        <f>"기타 흉부질환주의(진단미정)"</f>
        <v>기타 흉부질환주의(진단미정)</v>
      </c>
      <c r="D687" s="1" t="str">
        <f>"저선량 폐CT상 ( ) 소견 있습니다. 정확한 진단을 위해 호흡기 내과 진료를 받아보시기 바랍니다."</f>
        <v>저선량 폐CT상 ( ) 소견 있습니다. 정확한 진단을 위해 호흡기 내과 진료를 받아보시기 바랍니다.</v>
      </c>
      <c r="E687" s="1" t="str">
        <f t="shared" ref="E687:E750" si="230">"WOK02"</f>
        <v>WOK02</v>
      </c>
      <c r="F687" s="1" t="str">
        <f>"PTF03"</f>
        <v>PTF03</v>
      </c>
      <c r="G687" s="1" t="str">
        <f>"DISJ"</f>
        <v>DISJ</v>
      </c>
      <c r="H687" s="1" t="str">
        <f>""</f>
        <v/>
      </c>
      <c r="I687" s="1" t="str">
        <f>""</f>
        <v/>
      </c>
      <c r="J687" s="1" t="str">
        <f>"C30C"</f>
        <v>C30C</v>
      </c>
      <c r="K687" s="1" t="str">
        <f>"C30D"</f>
        <v>C30D</v>
      </c>
      <c r="L687" s="1" t="str">
        <f t="shared" si="223"/>
        <v>R</v>
      </c>
      <c r="M687" s="1" t="str">
        <f>"T04"</f>
        <v>T04</v>
      </c>
      <c r="N687" s="1" t="str">
        <f t="shared" si="226"/>
        <v>Y</v>
      </c>
      <c r="O687" s="1" t="str">
        <f t="shared" si="225"/>
        <v>Y</v>
      </c>
      <c r="P687" s="1" t="str">
        <f t="shared" si="224"/>
        <v>Y</v>
      </c>
      <c r="Q687" s="1" t="str">
        <f t="shared" si="228"/>
        <v>A</v>
      </c>
    </row>
    <row r="688" spans="1:17" x14ac:dyDescent="0.3">
      <c r="A688" s="1" t="str">
        <f t="shared" si="227"/>
        <v>C2</v>
      </c>
      <c r="B688" s="1" t="str">
        <f>"FM0071"</f>
        <v>FM0071</v>
      </c>
      <c r="C688" s="1" t="str">
        <f>"고혈압의심"</f>
        <v>고혈압의심</v>
      </c>
      <c r="D688" s="1" t="s">
        <v>221</v>
      </c>
      <c r="E688" s="1" t="str">
        <f t="shared" si="230"/>
        <v>WOK02</v>
      </c>
      <c r="F688" s="1" t="str">
        <f>"PTM04"</f>
        <v>PTM04</v>
      </c>
      <c r="G688" s="1" t="str">
        <f>""</f>
        <v/>
      </c>
      <c r="H688" s="1" t="str">
        <f>"REL03"</f>
        <v>REL03</v>
      </c>
      <c r="I688" s="1" t="str">
        <f>""</f>
        <v/>
      </c>
      <c r="J688" s="1" t="str">
        <f>""</f>
        <v/>
      </c>
      <c r="K688" s="1" t="str">
        <f>""</f>
        <v/>
      </c>
      <c r="L688" s="1" t="str">
        <f t="shared" si="223"/>
        <v>R</v>
      </c>
      <c r="M688" s="1" t="str">
        <f>"T03"</f>
        <v>T03</v>
      </c>
      <c r="N688" s="1" t="str">
        <f t="shared" si="226"/>
        <v>Y</v>
      </c>
      <c r="O688" s="1" t="str">
        <f t="shared" si="225"/>
        <v>Y</v>
      </c>
      <c r="P688" s="1" t="str">
        <f t="shared" si="224"/>
        <v>Y</v>
      </c>
      <c r="Q688" s="1" t="str">
        <f t="shared" si="228"/>
        <v>A</v>
      </c>
    </row>
    <row r="689" spans="1:17" x14ac:dyDescent="0.3">
      <c r="A689" s="1" t="str">
        <f t="shared" si="227"/>
        <v>C2</v>
      </c>
      <c r="B689" s="1" t="str">
        <f>"GNLDCT02"</f>
        <v>GNLDCT02</v>
      </c>
      <c r="C689" s="1" t="str">
        <f>"(저선량 흉부 CT) 기관지확장증"</f>
        <v>(저선량 흉부 CT) 기관지확장증</v>
      </c>
      <c r="D689" s="1" t="s">
        <v>222</v>
      </c>
      <c r="E689" s="1" t="str">
        <f t="shared" si="230"/>
        <v>WOK02</v>
      </c>
      <c r="F689" s="1" t="str">
        <f>"PTM036"</f>
        <v>PTM036</v>
      </c>
      <c r="G689" s="1" t="str">
        <f>""</f>
        <v/>
      </c>
      <c r="H689" s="1" t="str">
        <f t="shared" ref="H689:H708" si="231">"REL02"</f>
        <v>REL02</v>
      </c>
      <c r="I689" s="1" t="str">
        <f t="shared" ref="I689:I708" si="232">"HWFIRE23"</f>
        <v>HWFIRE23</v>
      </c>
      <c r="J689" s="1" t="str">
        <f>""</f>
        <v/>
      </c>
      <c r="K689" s="1" t="str">
        <f>""</f>
        <v/>
      </c>
      <c r="L689" s="1" t="str">
        <f t="shared" si="223"/>
        <v>R</v>
      </c>
      <c r="M689" s="1" t="str">
        <f t="shared" ref="M689:M708" si="233">"T04"</f>
        <v>T04</v>
      </c>
      <c r="N689" s="1" t="str">
        <f t="shared" si="226"/>
        <v>Y</v>
      </c>
      <c r="O689" s="1" t="str">
        <f t="shared" si="225"/>
        <v>Y</v>
      </c>
      <c r="P689" s="1" t="str">
        <f t="shared" si="224"/>
        <v>Y</v>
      </c>
      <c r="Q689" s="1" t="str">
        <f t="shared" si="228"/>
        <v>A</v>
      </c>
    </row>
    <row r="690" spans="1:17" x14ac:dyDescent="0.3">
      <c r="A690" s="1" t="str">
        <f t="shared" si="227"/>
        <v>C2</v>
      </c>
      <c r="B690" s="1" t="str">
        <f>"GNLDCT03"</f>
        <v>GNLDCT03</v>
      </c>
      <c r="C690" s="1" t="str">
        <f>"(저선량 흉부 CT) 비정상"</f>
        <v>(저선량 흉부 CT) 비정상</v>
      </c>
      <c r="D690" s="1" t="str">
        <f>"저선량 흉부 CT 검사 결과…"</f>
        <v>저선량 흉부 CT 검사 결과…</v>
      </c>
      <c r="E690" s="1" t="str">
        <f t="shared" si="230"/>
        <v>WOK02</v>
      </c>
      <c r="F690" s="1" t="str">
        <f>"PTM01"</f>
        <v>PTM01</v>
      </c>
      <c r="G690" s="1" t="str">
        <f>""</f>
        <v/>
      </c>
      <c r="H690" s="1" t="str">
        <f t="shared" si="231"/>
        <v>REL02</v>
      </c>
      <c r="I690" s="1" t="str">
        <f t="shared" si="232"/>
        <v>HWFIRE23</v>
      </c>
      <c r="J690" s="1" t="str">
        <f>""</f>
        <v/>
      </c>
      <c r="K690" s="1" t="str">
        <f>""</f>
        <v/>
      </c>
      <c r="L690" s="1" t="str">
        <f t="shared" si="223"/>
        <v>R</v>
      </c>
      <c r="M690" s="1" t="str">
        <f t="shared" si="233"/>
        <v>T04</v>
      </c>
      <c r="N690" s="1" t="str">
        <f t="shared" si="226"/>
        <v>Y</v>
      </c>
      <c r="O690" s="1" t="str">
        <f t="shared" si="225"/>
        <v>Y</v>
      </c>
      <c r="P690" s="1" t="str">
        <f t="shared" si="224"/>
        <v>Y</v>
      </c>
      <c r="Q690" s="1" t="str">
        <f t="shared" si="228"/>
        <v>A</v>
      </c>
    </row>
    <row r="691" spans="1:17" x14ac:dyDescent="0.3">
      <c r="A691" s="1" t="str">
        <f t="shared" si="227"/>
        <v>C2</v>
      </c>
      <c r="B691" s="1" t="str">
        <f>"GNLDCT04"</f>
        <v>GNLDCT04</v>
      </c>
      <c r="C691" s="1" t="str">
        <f>"(저선량 흉부 CT) 결절"</f>
        <v>(저선량 흉부 CT) 결절</v>
      </c>
      <c r="D691" s="1" t="str">
        <f>"저선량 흉부 CT 검사 결과 결절 소견이 관찰됩니다. 호흡기내과 진료를 받으시기 바랍니다."</f>
        <v>저선량 흉부 CT 검사 결과 결절 소견이 관찰됩니다. 호흡기내과 진료를 받으시기 바랍니다.</v>
      </c>
      <c r="E691" s="1" t="str">
        <f t="shared" si="230"/>
        <v>WOK02</v>
      </c>
      <c r="F691" s="1" t="str">
        <f>"PTM04"</f>
        <v>PTM04</v>
      </c>
      <c r="G691" s="1" t="str">
        <f>""</f>
        <v/>
      </c>
      <c r="H691" s="1" t="str">
        <f t="shared" si="231"/>
        <v>REL02</v>
      </c>
      <c r="I691" s="1" t="str">
        <f t="shared" si="232"/>
        <v>HWFIRE23</v>
      </c>
      <c r="J691" s="1" t="str">
        <f>""</f>
        <v/>
      </c>
      <c r="K691" s="1" t="str">
        <f>""</f>
        <v/>
      </c>
      <c r="L691" s="1" t="str">
        <f t="shared" si="223"/>
        <v>R</v>
      </c>
      <c r="M691" s="1" t="str">
        <f t="shared" si="233"/>
        <v>T04</v>
      </c>
      <c r="N691" s="1" t="str">
        <f t="shared" si="226"/>
        <v>Y</v>
      </c>
      <c r="O691" s="1" t="str">
        <f t="shared" si="225"/>
        <v>Y</v>
      </c>
      <c r="P691" s="1" t="str">
        <f t="shared" si="224"/>
        <v>Y</v>
      </c>
      <c r="Q691" s="1" t="str">
        <f t="shared" si="228"/>
        <v>A</v>
      </c>
    </row>
    <row r="692" spans="1:17" x14ac:dyDescent="0.3">
      <c r="A692" s="1" t="str">
        <f t="shared" si="227"/>
        <v>C2</v>
      </c>
      <c r="B692" s="1" t="str">
        <f>"GNLDCT05"</f>
        <v>GNLDCT05</v>
      </c>
      <c r="C692" s="1" t="str">
        <f>"(저선량 흉부 CT) 석회화 결절"</f>
        <v>(저선량 흉부 CT) 석회화 결절</v>
      </c>
      <c r="D692" s="1" t="s">
        <v>223</v>
      </c>
      <c r="E692" s="1" t="str">
        <f t="shared" si="230"/>
        <v>WOK02</v>
      </c>
      <c r="F692" s="1" t="str">
        <f>"PTM01"</f>
        <v>PTM01</v>
      </c>
      <c r="G692" s="1" t="str">
        <f>""</f>
        <v/>
      </c>
      <c r="H692" s="1" t="str">
        <f t="shared" si="231"/>
        <v>REL02</v>
      </c>
      <c r="I692" s="1" t="str">
        <f t="shared" si="232"/>
        <v>HWFIRE23</v>
      </c>
      <c r="J692" s="1" t="str">
        <f>""</f>
        <v/>
      </c>
      <c r="K692" s="1" t="str">
        <f>""</f>
        <v/>
      </c>
      <c r="L692" s="1" t="str">
        <f t="shared" si="223"/>
        <v>R</v>
      </c>
      <c r="M692" s="1" t="str">
        <f t="shared" si="233"/>
        <v>T04</v>
      </c>
      <c r="N692" s="1" t="str">
        <f t="shared" si="226"/>
        <v>Y</v>
      </c>
      <c r="O692" s="1" t="str">
        <f t="shared" si="225"/>
        <v>Y</v>
      </c>
      <c r="P692" s="1" t="str">
        <f t="shared" si="224"/>
        <v>Y</v>
      </c>
      <c r="Q692" s="1" t="str">
        <f t="shared" si="228"/>
        <v>A</v>
      </c>
    </row>
    <row r="693" spans="1:17" x14ac:dyDescent="0.3">
      <c r="A693" s="1" t="str">
        <f t="shared" si="227"/>
        <v>C2</v>
      </c>
      <c r="B693" s="1" t="str">
        <f>"GNLDCT06"</f>
        <v>GNLDCT06</v>
      </c>
      <c r="C693" s="1" t="str">
        <f>"(저선량 흉부 CT) 간유리 결절"</f>
        <v>(저선량 흉부 CT) 간유리 결절</v>
      </c>
      <c r="D693" s="1" t="str">
        <f>"저선량 흉부 CT 검사 결과 간유리 결절 소견이 관찰됩니다. 이 병변은 과거 폐의 염증 등이 지나간 흔적일 가능성이 높으나 다른 질환에서도 나타날 수 있습니다. 변화 유무를 살펴보기 위해 1년 후 저선량 흉부 CT로 추적 관찰하시기 바랍니다."</f>
        <v>저선량 흉부 CT 검사 결과 간유리 결절 소견이 관찰됩니다. 이 병변은 과거 폐의 염증 등이 지나간 흔적일 가능성이 높으나 다른 질환에서도 나타날 수 있습니다. 변화 유무를 살펴보기 위해 1년 후 저선량 흉부 CT로 추적 관찰하시기 바랍니다.</v>
      </c>
      <c r="E693" s="1" t="str">
        <f t="shared" si="230"/>
        <v>WOK02</v>
      </c>
      <c r="F693" s="1" t="str">
        <f>"PTM036"</f>
        <v>PTM036</v>
      </c>
      <c r="G693" s="1" t="str">
        <f>""</f>
        <v/>
      </c>
      <c r="H693" s="1" t="str">
        <f t="shared" si="231"/>
        <v>REL02</v>
      </c>
      <c r="I693" s="1" t="str">
        <f t="shared" si="232"/>
        <v>HWFIRE23</v>
      </c>
      <c r="J693" s="1" t="str">
        <f>""</f>
        <v/>
      </c>
      <c r="K693" s="1" t="str">
        <f>""</f>
        <v/>
      </c>
      <c r="L693" s="1" t="str">
        <f t="shared" si="223"/>
        <v>R</v>
      </c>
      <c r="M693" s="1" t="str">
        <f t="shared" si="233"/>
        <v>T04</v>
      </c>
      <c r="N693" s="1" t="str">
        <f t="shared" si="226"/>
        <v>Y</v>
      </c>
      <c r="O693" s="1" t="str">
        <f t="shared" si="225"/>
        <v>Y</v>
      </c>
      <c r="P693" s="1" t="str">
        <f t="shared" si="224"/>
        <v>Y</v>
      </c>
      <c r="Q693" s="1" t="str">
        <f t="shared" si="228"/>
        <v>A</v>
      </c>
    </row>
    <row r="694" spans="1:17" x14ac:dyDescent="0.3">
      <c r="A694" s="1" t="str">
        <f t="shared" si="227"/>
        <v>C2</v>
      </c>
      <c r="B694" s="1" t="str">
        <f>"GNLDCT07"</f>
        <v>GNLDCT07</v>
      </c>
      <c r="C694" s="1" t="str">
        <f>"(저선량 흉부 CT) 무기폐"</f>
        <v>(저선량 흉부 CT) 무기폐</v>
      </c>
      <c r="D694" s="1" t="s">
        <v>224</v>
      </c>
      <c r="E694" s="1" t="str">
        <f t="shared" si="230"/>
        <v>WOK02</v>
      </c>
      <c r="F694" s="1" t="str">
        <f>"PTM01"</f>
        <v>PTM01</v>
      </c>
      <c r="G694" s="1" t="str">
        <f>""</f>
        <v/>
      </c>
      <c r="H694" s="1" t="str">
        <f t="shared" si="231"/>
        <v>REL02</v>
      </c>
      <c r="I694" s="1" t="str">
        <f t="shared" si="232"/>
        <v>HWFIRE23</v>
      </c>
      <c r="J694" s="1" t="str">
        <f>""</f>
        <v/>
      </c>
      <c r="K694" s="1" t="str">
        <f>""</f>
        <v/>
      </c>
      <c r="L694" s="1" t="str">
        <f t="shared" si="223"/>
        <v>R</v>
      </c>
      <c r="M694" s="1" t="str">
        <f t="shared" si="233"/>
        <v>T04</v>
      </c>
      <c r="N694" s="1" t="str">
        <f t="shared" si="226"/>
        <v>Y</v>
      </c>
      <c r="O694" s="1" t="str">
        <f t="shared" si="225"/>
        <v>Y</v>
      </c>
      <c r="P694" s="1" t="str">
        <f t="shared" si="224"/>
        <v>Y</v>
      </c>
      <c r="Q694" s="1" t="str">
        <f t="shared" si="228"/>
        <v>A</v>
      </c>
    </row>
    <row r="695" spans="1:17" x14ac:dyDescent="0.3">
      <c r="A695" s="1" t="str">
        <f t="shared" si="227"/>
        <v>C2</v>
      </c>
      <c r="B695" s="1" t="str">
        <f>"GNLDCT08"</f>
        <v>GNLDCT08</v>
      </c>
      <c r="C695" s="1" t="str">
        <f>"(저선량 흉부 CT) 횡경막 내장 탈출"</f>
        <v>(저선량 흉부 CT) 횡경막 내장 탈출</v>
      </c>
      <c r="D695" s="1" t="s">
        <v>225</v>
      </c>
      <c r="E695" s="1" t="str">
        <f t="shared" si="230"/>
        <v>WOK02</v>
      </c>
      <c r="F695" s="1" t="str">
        <f>"PTM04"</f>
        <v>PTM04</v>
      </c>
      <c r="G695" s="1" t="str">
        <f>""</f>
        <v/>
      </c>
      <c r="H695" s="1" t="str">
        <f t="shared" si="231"/>
        <v>REL02</v>
      </c>
      <c r="I695" s="1" t="str">
        <f t="shared" si="232"/>
        <v>HWFIRE23</v>
      </c>
      <c r="J695" s="1" t="str">
        <f>""</f>
        <v/>
      </c>
      <c r="K695" s="1" t="str">
        <f>""</f>
        <v/>
      </c>
      <c r="L695" s="1" t="str">
        <f t="shared" si="223"/>
        <v>R</v>
      </c>
      <c r="M695" s="1" t="str">
        <f t="shared" si="233"/>
        <v>T04</v>
      </c>
      <c r="N695" s="1" t="str">
        <f t="shared" si="226"/>
        <v>Y</v>
      </c>
      <c r="O695" s="1" t="str">
        <f t="shared" si="225"/>
        <v>Y</v>
      </c>
      <c r="P695" s="1" t="str">
        <f t="shared" si="224"/>
        <v>Y</v>
      </c>
      <c r="Q695" s="1" t="str">
        <f t="shared" si="228"/>
        <v>A</v>
      </c>
    </row>
    <row r="696" spans="1:17" x14ac:dyDescent="0.3">
      <c r="A696" s="1" t="str">
        <f t="shared" si="227"/>
        <v>C2</v>
      </c>
      <c r="B696" s="1" t="str">
        <f>"GNLDCT09"</f>
        <v>GNLDCT09</v>
      </c>
      <c r="C696" s="1" t="str">
        <f>"(저선량 흉부 CT) 국소 섬유화"</f>
        <v>(저선량 흉부 CT) 국소 섬유화</v>
      </c>
      <c r="D696" s="1" t="s">
        <v>226</v>
      </c>
      <c r="E696" s="1" t="str">
        <f t="shared" si="230"/>
        <v>WOK02</v>
      </c>
      <c r="F696" s="1" t="str">
        <f>"PTM036"</f>
        <v>PTM036</v>
      </c>
      <c r="G696" s="1" t="str">
        <f>""</f>
        <v/>
      </c>
      <c r="H696" s="1" t="str">
        <f t="shared" si="231"/>
        <v>REL02</v>
      </c>
      <c r="I696" s="1" t="str">
        <f t="shared" si="232"/>
        <v>HWFIRE23</v>
      </c>
      <c r="J696" s="1" t="str">
        <f>""</f>
        <v/>
      </c>
      <c r="K696" s="1" t="str">
        <f>""</f>
        <v/>
      </c>
      <c r="L696" s="1" t="str">
        <f t="shared" si="223"/>
        <v>R</v>
      </c>
      <c r="M696" s="1" t="str">
        <f t="shared" si="233"/>
        <v>T04</v>
      </c>
      <c r="N696" s="1" t="str">
        <f t="shared" si="226"/>
        <v>Y</v>
      </c>
      <c r="O696" s="1" t="str">
        <f t="shared" si="225"/>
        <v>Y</v>
      </c>
      <c r="P696" s="1" t="str">
        <f t="shared" si="224"/>
        <v>Y</v>
      </c>
      <c r="Q696" s="1" t="str">
        <f t="shared" si="228"/>
        <v>A</v>
      </c>
    </row>
    <row r="697" spans="1:17" x14ac:dyDescent="0.3">
      <c r="A697" s="1" t="str">
        <f t="shared" si="227"/>
        <v>C2</v>
      </c>
      <c r="B697" s="1" t="str">
        <f>"GNLDCT10"</f>
        <v>GNLDCT10</v>
      </c>
      <c r="C697" s="1" t="str">
        <f>"(저선량 흉부 CT) 흉선 비대"</f>
        <v>(저선량 흉부 CT) 흉선 비대</v>
      </c>
      <c r="D697" s="1" t="str">
        <f>"저선량 흉부 CT 검사 결과 흉선 비대 소견 확인됩니다. 흉부외과 진료를 받으시기 바랍니다."</f>
        <v>저선량 흉부 CT 검사 결과 흉선 비대 소견 확인됩니다. 흉부외과 진료를 받으시기 바랍니다.</v>
      </c>
      <c r="E697" s="1" t="str">
        <f t="shared" si="230"/>
        <v>WOK02</v>
      </c>
      <c r="F697" s="1" t="str">
        <f>"PTM04"</f>
        <v>PTM04</v>
      </c>
      <c r="G697" s="1" t="str">
        <f>""</f>
        <v/>
      </c>
      <c r="H697" s="1" t="str">
        <f t="shared" si="231"/>
        <v>REL02</v>
      </c>
      <c r="I697" s="1" t="str">
        <f t="shared" si="232"/>
        <v>HWFIRE23</v>
      </c>
      <c r="J697" s="1" t="str">
        <f>""</f>
        <v/>
      </c>
      <c r="K697" s="1" t="str">
        <f>""</f>
        <v/>
      </c>
      <c r="L697" s="1" t="str">
        <f t="shared" si="223"/>
        <v>R</v>
      </c>
      <c r="M697" s="1" t="str">
        <f t="shared" si="233"/>
        <v>T04</v>
      </c>
      <c r="N697" s="1" t="str">
        <f t="shared" si="226"/>
        <v>Y</v>
      </c>
      <c r="O697" s="1" t="str">
        <f t="shared" si="225"/>
        <v>Y</v>
      </c>
      <c r="P697" s="1" t="str">
        <f t="shared" si="224"/>
        <v>Y</v>
      </c>
      <c r="Q697" s="1" t="str">
        <f t="shared" si="228"/>
        <v>A</v>
      </c>
    </row>
    <row r="698" spans="1:17" x14ac:dyDescent="0.3">
      <c r="A698" s="1" t="str">
        <f t="shared" si="227"/>
        <v>C2</v>
      </c>
      <c r="B698" s="1" t="str">
        <f>"GNLDCT11"</f>
        <v>GNLDCT11</v>
      </c>
      <c r="C698" s="1" t="str">
        <f>"(저선량 흉부 CT) 폐기종"</f>
        <v>(저선량 흉부 CT) 폐기종</v>
      </c>
      <c r="D698" s="1" t="s">
        <v>227</v>
      </c>
      <c r="E698" s="1" t="str">
        <f t="shared" si="230"/>
        <v>WOK02</v>
      </c>
      <c r="F698" s="1" t="str">
        <f>"PTM01"</f>
        <v>PTM01</v>
      </c>
      <c r="G698" s="1" t="str">
        <f>""</f>
        <v/>
      </c>
      <c r="H698" s="1" t="str">
        <f t="shared" si="231"/>
        <v>REL02</v>
      </c>
      <c r="I698" s="1" t="str">
        <f t="shared" si="232"/>
        <v>HWFIRE23</v>
      </c>
      <c r="J698" s="1" t="str">
        <f>""</f>
        <v/>
      </c>
      <c r="K698" s="1" t="str">
        <f>""</f>
        <v/>
      </c>
      <c r="L698" s="1" t="str">
        <f t="shared" si="223"/>
        <v>R</v>
      </c>
      <c r="M698" s="1" t="str">
        <f t="shared" si="233"/>
        <v>T04</v>
      </c>
      <c r="N698" s="1" t="str">
        <f t="shared" si="226"/>
        <v>Y</v>
      </c>
      <c r="O698" s="1" t="str">
        <f t="shared" si="225"/>
        <v>Y</v>
      </c>
      <c r="P698" s="1" t="str">
        <f t="shared" si="224"/>
        <v>Y</v>
      </c>
      <c r="Q698" s="1" t="str">
        <f t="shared" si="228"/>
        <v>A</v>
      </c>
    </row>
    <row r="699" spans="1:17" x14ac:dyDescent="0.3">
      <c r="A699" s="1" t="str">
        <f t="shared" si="227"/>
        <v>C2</v>
      </c>
      <c r="B699" s="1" t="str">
        <f>"GNLDCT12"</f>
        <v>GNLDCT12</v>
      </c>
      <c r="C699" s="1" t="str">
        <f>"(저선량 흉부 CT) 간유리 음영"</f>
        <v>(저선량 흉부 CT) 간유리 음영</v>
      </c>
      <c r="D699" s="1" t="str">
        <f>"저선량 흉부 CT 검사 결과 간유리 음영 소견 확인됩니다. 이 병변은 과거 폐의 염증 등이 지나간 흔적일 가능성이 높으나 다른 질환에서도 나타날 수 있습니다. 변화 유무를 살펴보기 위해 1년 후 저선량 흉부 CT로 추적 관찰하시기 바랍니다."</f>
        <v>저선량 흉부 CT 검사 결과 간유리 음영 소견 확인됩니다. 이 병변은 과거 폐의 염증 등이 지나간 흔적일 가능성이 높으나 다른 질환에서도 나타날 수 있습니다. 변화 유무를 살펴보기 위해 1년 후 저선량 흉부 CT로 추적 관찰하시기 바랍니다.</v>
      </c>
      <c r="E699" s="1" t="str">
        <f t="shared" si="230"/>
        <v>WOK02</v>
      </c>
      <c r="F699" s="1" t="str">
        <f>"PTM036"</f>
        <v>PTM036</v>
      </c>
      <c r="G699" s="1" t="str">
        <f>""</f>
        <v/>
      </c>
      <c r="H699" s="1" t="str">
        <f t="shared" si="231"/>
        <v>REL02</v>
      </c>
      <c r="I699" s="1" t="str">
        <f t="shared" si="232"/>
        <v>HWFIRE23</v>
      </c>
      <c r="J699" s="1" t="str">
        <f>""</f>
        <v/>
      </c>
      <c r="K699" s="1" t="str">
        <f>""</f>
        <v/>
      </c>
      <c r="L699" s="1" t="str">
        <f t="shared" si="223"/>
        <v>R</v>
      </c>
      <c r="M699" s="1" t="str">
        <f t="shared" si="233"/>
        <v>T04</v>
      </c>
      <c r="N699" s="1" t="str">
        <f t="shared" si="226"/>
        <v>Y</v>
      </c>
      <c r="O699" s="1" t="str">
        <f t="shared" si="225"/>
        <v>Y</v>
      </c>
      <c r="P699" s="1" t="str">
        <f t="shared" si="224"/>
        <v>Y</v>
      </c>
      <c r="Q699" s="1" t="str">
        <f t="shared" si="228"/>
        <v>A</v>
      </c>
    </row>
    <row r="700" spans="1:17" x14ac:dyDescent="0.3">
      <c r="A700" s="1" t="str">
        <f t="shared" si="227"/>
        <v>C2</v>
      </c>
      <c r="B700" s="1" t="str">
        <f>"GNLDCT13"</f>
        <v>GNLDCT13</v>
      </c>
      <c r="C700" s="1" t="str">
        <f>"(저선량 흉부 CT) 관상동맥 석회화"</f>
        <v>(저선량 흉부 CT) 관상동맥 석회화</v>
      </c>
      <c r="D700" s="1" t="s">
        <v>228</v>
      </c>
      <c r="E700" s="1" t="str">
        <f t="shared" si="230"/>
        <v>WOK02</v>
      </c>
      <c r="F700" s="1" t="str">
        <f>"PTM036"</f>
        <v>PTM036</v>
      </c>
      <c r="G700" s="1" t="str">
        <f>""</f>
        <v/>
      </c>
      <c r="H700" s="1" t="str">
        <f t="shared" si="231"/>
        <v>REL02</v>
      </c>
      <c r="I700" s="1" t="str">
        <f t="shared" si="232"/>
        <v>HWFIRE23</v>
      </c>
      <c r="J700" s="1" t="str">
        <f>""</f>
        <v/>
      </c>
      <c r="K700" s="1" t="str">
        <f>""</f>
        <v/>
      </c>
      <c r="L700" s="1" t="str">
        <f t="shared" si="223"/>
        <v>R</v>
      </c>
      <c r="M700" s="1" t="str">
        <f t="shared" si="233"/>
        <v>T04</v>
      </c>
      <c r="N700" s="1" t="str">
        <f t="shared" si="226"/>
        <v>Y</v>
      </c>
      <c r="O700" s="1" t="str">
        <f t="shared" si="225"/>
        <v>Y</v>
      </c>
      <c r="P700" s="1" t="str">
        <f t="shared" si="224"/>
        <v>Y</v>
      </c>
      <c r="Q700" s="1" t="str">
        <f t="shared" si="228"/>
        <v>A</v>
      </c>
    </row>
    <row r="701" spans="1:17" x14ac:dyDescent="0.3">
      <c r="A701" s="1" t="str">
        <f t="shared" si="227"/>
        <v>C2</v>
      </c>
      <c r="B701" s="1" t="str">
        <f>"GNLDCT14"</f>
        <v>GNLDCT14</v>
      </c>
      <c r="C701" s="1" t="str">
        <f>"(저선량 흉부 CT) 폐기포"</f>
        <v>(저선량 흉부 CT) 폐기포</v>
      </c>
      <c r="D701" s="1" t="s">
        <v>229</v>
      </c>
      <c r="E701" s="1" t="str">
        <f t="shared" si="230"/>
        <v>WOK02</v>
      </c>
      <c r="F701" s="1" t="str">
        <f>"PTM01"</f>
        <v>PTM01</v>
      </c>
      <c r="G701" s="1" t="str">
        <f>""</f>
        <v/>
      </c>
      <c r="H701" s="1" t="str">
        <f t="shared" si="231"/>
        <v>REL02</v>
      </c>
      <c r="I701" s="1" t="str">
        <f t="shared" si="232"/>
        <v>HWFIRE23</v>
      </c>
      <c r="J701" s="1" t="str">
        <f>""</f>
        <v/>
      </c>
      <c r="K701" s="1" t="str">
        <f>""</f>
        <v/>
      </c>
      <c r="L701" s="1" t="str">
        <f t="shared" si="223"/>
        <v>R</v>
      </c>
      <c r="M701" s="1" t="str">
        <f t="shared" si="233"/>
        <v>T04</v>
      </c>
      <c r="N701" s="1" t="str">
        <f t="shared" si="226"/>
        <v>Y</v>
      </c>
      <c r="O701" s="1" t="str">
        <f t="shared" si="225"/>
        <v>Y</v>
      </c>
      <c r="P701" s="1" t="str">
        <f t="shared" si="224"/>
        <v>Y</v>
      </c>
      <c r="Q701" s="1" t="str">
        <f t="shared" si="228"/>
        <v>A</v>
      </c>
    </row>
    <row r="702" spans="1:17" x14ac:dyDescent="0.3">
      <c r="A702" s="1" t="str">
        <f t="shared" si="227"/>
        <v>C2</v>
      </c>
      <c r="B702" s="1" t="str">
        <f>"GNLDCT15"</f>
        <v>GNLDCT15</v>
      </c>
      <c r="C702" s="1" t="str">
        <f>"(저선량 흉부 CT) 대동맥 석회화"</f>
        <v>(저선량 흉부 CT) 대동맥 석회화</v>
      </c>
      <c r="D702" s="1" t="str">
        <f>"저선량 흉부 CT 검사 결과 대동맥 석회화 소견 확인됩니다. 순환기내과 진료를 받으시기 바랍니다."</f>
        <v>저선량 흉부 CT 검사 결과 대동맥 석회화 소견 확인됩니다. 순환기내과 진료를 받으시기 바랍니다.</v>
      </c>
      <c r="E702" s="1" t="str">
        <f t="shared" si="230"/>
        <v>WOK02</v>
      </c>
      <c r="F702" s="1" t="str">
        <f>"PTM036"</f>
        <v>PTM036</v>
      </c>
      <c r="G702" s="1" t="str">
        <f>""</f>
        <v/>
      </c>
      <c r="H702" s="1" t="str">
        <f t="shared" si="231"/>
        <v>REL02</v>
      </c>
      <c r="I702" s="1" t="str">
        <f t="shared" si="232"/>
        <v>HWFIRE23</v>
      </c>
      <c r="J702" s="1" t="str">
        <f>""</f>
        <v/>
      </c>
      <c r="K702" s="1" t="str">
        <f>""</f>
        <v/>
      </c>
      <c r="L702" s="1" t="str">
        <f t="shared" si="223"/>
        <v>R</v>
      </c>
      <c r="M702" s="1" t="str">
        <f t="shared" si="233"/>
        <v>T04</v>
      </c>
      <c r="N702" s="1" t="str">
        <f t="shared" si="226"/>
        <v>Y</v>
      </c>
      <c r="O702" s="1" t="str">
        <f t="shared" si="225"/>
        <v>Y</v>
      </c>
      <c r="P702" s="1" t="str">
        <f t="shared" si="224"/>
        <v>Y</v>
      </c>
      <c r="Q702" s="1" t="str">
        <f t="shared" si="228"/>
        <v>A</v>
      </c>
    </row>
    <row r="703" spans="1:17" x14ac:dyDescent="0.3">
      <c r="A703" s="1" t="str">
        <f t="shared" si="227"/>
        <v>C2</v>
      </c>
      <c r="B703" s="1" t="str">
        <f>"GNLDCT16"</f>
        <v>GNLDCT16</v>
      </c>
      <c r="C703" s="1" t="str">
        <f>"(저선량 흉부 CT) 기흉"</f>
        <v>(저선량 흉부 CT) 기흉</v>
      </c>
      <c r="D703" s="1" t="str">
        <f>"저선량 흉부 CT 검사 결과 기흉 소견이 확인됩니다. 흉부외과 진료를 받으시기 바랍니다."</f>
        <v>저선량 흉부 CT 검사 결과 기흉 소견이 확인됩니다. 흉부외과 진료를 받으시기 바랍니다.</v>
      </c>
      <c r="E703" s="1" t="str">
        <f t="shared" si="230"/>
        <v>WOK02</v>
      </c>
      <c r="F703" s="1" t="str">
        <f>"PTM036"</f>
        <v>PTM036</v>
      </c>
      <c r="G703" s="1" t="str">
        <f>""</f>
        <v/>
      </c>
      <c r="H703" s="1" t="str">
        <f t="shared" si="231"/>
        <v>REL02</v>
      </c>
      <c r="I703" s="1" t="str">
        <f t="shared" si="232"/>
        <v>HWFIRE23</v>
      </c>
      <c r="J703" s="1" t="str">
        <f>""</f>
        <v/>
      </c>
      <c r="K703" s="1" t="str">
        <f>""</f>
        <v/>
      </c>
      <c r="L703" s="1" t="str">
        <f t="shared" si="223"/>
        <v>R</v>
      </c>
      <c r="M703" s="1" t="str">
        <f t="shared" si="233"/>
        <v>T04</v>
      </c>
      <c r="N703" s="1" t="str">
        <f t="shared" si="226"/>
        <v>Y</v>
      </c>
      <c r="O703" s="1" t="str">
        <f t="shared" si="225"/>
        <v>Y</v>
      </c>
      <c r="P703" s="1" t="str">
        <f t="shared" si="224"/>
        <v>Y</v>
      </c>
      <c r="Q703" s="1" t="str">
        <f t="shared" si="228"/>
        <v>A</v>
      </c>
    </row>
    <row r="704" spans="1:17" x14ac:dyDescent="0.3">
      <c r="A704" s="1" t="str">
        <f t="shared" si="227"/>
        <v>C2</v>
      </c>
      <c r="B704" s="1" t="str">
        <f>"GNLDCT17"</f>
        <v>GNLDCT17</v>
      </c>
      <c r="C704" s="1" t="str">
        <f>"(저선량 흉부 CT) 흉막 삼출"</f>
        <v>(저선량 흉부 CT) 흉막 삼출</v>
      </c>
      <c r="D704" s="1" t="str">
        <f>"저선량 흉부 CT 검사 결과 흉막 삼출 소견이 확인됩니다. 호흡기내과 진료를 받으시기 바랍니다."</f>
        <v>저선량 흉부 CT 검사 결과 흉막 삼출 소견이 확인됩니다. 호흡기내과 진료를 받으시기 바랍니다.</v>
      </c>
      <c r="E704" s="1" t="str">
        <f t="shared" si="230"/>
        <v>WOK02</v>
      </c>
      <c r="F704" s="1" t="str">
        <f>"PTM04"</f>
        <v>PTM04</v>
      </c>
      <c r="G704" s="1" t="str">
        <f>""</f>
        <v/>
      </c>
      <c r="H704" s="1" t="str">
        <f t="shared" si="231"/>
        <v>REL02</v>
      </c>
      <c r="I704" s="1" t="str">
        <f t="shared" si="232"/>
        <v>HWFIRE23</v>
      </c>
      <c r="J704" s="1" t="str">
        <f>""</f>
        <v/>
      </c>
      <c r="K704" s="1" t="str">
        <f>""</f>
        <v/>
      </c>
      <c r="L704" s="1" t="str">
        <f t="shared" si="223"/>
        <v>R</v>
      </c>
      <c r="M704" s="1" t="str">
        <f t="shared" si="233"/>
        <v>T04</v>
      </c>
      <c r="N704" s="1" t="str">
        <f t="shared" si="226"/>
        <v>Y</v>
      </c>
      <c r="O704" s="1" t="str">
        <f t="shared" si="225"/>
        <v>Y</v>
      </c>
      <c r="P704" s="1" t="str">
        <f t="shared" si="224"/>
        <v>Y</v>
      </c>
      <c r="Q704" s="1" t="str">
        <f t="shared" si="228"/>
        <v>A</v>
      </c>
    </row>
    <row r="705" spans="1:17" x14ac:dyDescent="0.3">
      <c r="A705" s="1" t="str">
        <f t="shared" si="227"/>
        <v>C2</v>
      </c>
      <c r="B705" s="1" t="str">
        <f>"GNLDCT18"</f>
        <v>GNLDCT18</v>
      </c>
      <c r="C705" s="1" t="str">
        <f>"(저선량 흉부 CT) 종격동 종괴"</f>
        <v>(저선량 흉부 CT) 종격동 종괴</v>
      </c>
      <c r="D705" s="1" t="str">
        <f>"저선량 흉부 CT 검사 결과 종격동 종괴 소견이 확인됩니다. 호흡기내과 진료를 받으시기 바랍니다."</f>
        <v>저선량 흉부 CT 검사 결과 종격동 종괴 소견이 확인됩니다. 호흡기내과 진료를 받으시기 바랍니다.</v>
      </c>
      <c r="E705" s="1" t="str">
        <f t="shared" si="230"/>
        <v>WOK02</v>
      </c>
      <c r="F705" s="1" t="str">
        <f>"PTM04"</f>
        <v>PTM04</v>
      </c>
      <c r="G705" s="1" t="str">
        <f>""</f>
        <v/>
      </c>
      <c r="H705" s="1" t="str">
        <f t="shared" si="231"/>
        <v>REL02</v>
      </c>
      <c r="I705" s="1" t="str">
        <f t="shared" si="232"/>
        <v>HWFIRE23</v>
      </c>
      <c r="J705" s="1" t="str">
        <f>""</f>
        <v/>
      </c>
      <c r="K705" s="1" t="str">
        <f>""</f>
        <v/>
      </c>
      <c r="L705" s="1" t="str">
        <f t="shared" si="223"/>
        <v>R</v>
      </c>
      <c r="M705" s="1" t="str">
        <f t="shared" si="233"/>
        <v>T04</v>
      </c>
      <c r="N705" s="1" t="str">
        <f t="shared" si="226"/>
        <v>Y</v>
      </c>
      <c r="O705" s="1" t="str">
        <f t="shared" si="225"/>
        <v>Y</v>
      </c>
      <c r="P705" s="1" t="str">
        <f t="shared" si="224"/>
        <v>Y</v>
      </c>
      <c r="Q705" s="1" t="str">
        <f t="shared" si="228"/>
        <v>A</v>
      </c>
    </row>
    <row r="706" spans="1:17" x14ac:dyDescent="0.3">
      <c r="A706" s="1" t="str">
        <f t="shared" si="227"/>
        <v>C2</v>
      </c>
      <c r="B706" s="1" t="str">
        <f>"GNLDCT19"</f>
        <v>GNLDCT19</v>
      </c>
      <c r="C706" s="1" t="str">
        <f>"(저선량 흉부 CT) 과거 폐결핵"</f>
        <v>(저선량 흉부 CT) 과거 폐결핵</v>
      </c>
      <c r="D706" s="1" t="s">
        <v>230</v>
      </c>
      <c r="E706" s="1" t="str">
        <f t="shared" si="230"/>
        <v>WOK02</v>
      </c>
      <c r="F706" s="1" t="str">
        <f>"PTM01"</f>
        <v>PTM01</v>
      </c>
      <c r="G706" s="1" t="str">
        <f>""</f>
        <v/>
      </c>
      <c r="H706" s="1" t="str">
        <f t="shared" si="231"/>
        <v>REL02</v>
      </c>
      <c r="I706" s="1" t="str">
        <f t="shared" si="232"/>
        <v>HWFIRE23</v>
      </c>
      <c r="J706" s="1" t="str">
        <f>""</f>
        <v/>
      </c>
      <c r="K706" s="1" t="str">
        <f>""</f>
        <v/>
      </c>
      <c r="L706" s="1" t="str">
        <f t="shared" si="223"/>
        <v>R</v>
      </c>
      <c r="M706" s="1" t="str">
        <f t="shared" si="233"/>
        <v>T04</v>
      </c>
      <c r="N706" s="1" t="str">
        <f t="shared" si="226"/>
        <v>Y</v>
      </c>
      <c r="O706" s="1" t="str">
        <f t="shared" si="225"/>
        <v>Y</v>
      </c>
      <c r="P706" s="1" t="str">
        <f t="shared" si="224"/>
        <v>Y</v>
      </c>
      <c r="Q706" s="1" t="str">
        <f t="shared" si="228"/>
        <v>A</v>
      </c>
    </row>
    <row r="707" spans="1:17" x14ac:dyDescent="0.3">
      <c r="A707" s="1" t="str">
        <f t="shared" si="227"/>
        <v>C2</v>
      </c>
      <c r="B707" s="1" t="str">
        <f>"GNLDCT20"</f>
        <v>GNLDCT20</v>
      </c>
      <c r="C707" s="1" t="str">
        <f>"(저선량 흉부 CT) 종괴 의증"</f>
        <v>(저선량 흉부 CT) 종괴 의증</v>
      </c>
      <c r="D707" s="1" t="str">
        <f>"저선량 흉부 CT 검사 결과 종괴 의증 소견이 확인됩니다. 호흡기내과 진료를 받으시기 바랍니다."</f>
        <v>저선량 흉부 CT 검사 결과 종괴 의증 소견이 확인됩니다. 호흡기내과 진료를 받으시기 바랍니다.</v>
      </c>
      <c r="E707" s="1" t="str">
        <f t="shared" si="230"/>
        <v>WOK02</v>
      </c>
      <c r="F707" s="1" t="str">
        <f>"PTM04"</f>
        <v>PTM04</v>
      </c>
      <c r="G707" s="1" t="str">
        <f>""</f>
        <v/>
      </c>
      <c r="H707" s="1" t="str">
        <f t="shared" si="231"/>
        <v>REL02</v>
      </c>
      <c r="I707" s="1" t="str">
        <f t="shared" si="232"/>
        <v>HWFIRE23</v>
      </c>
      <c r="J707" s="1" t="str">
        <f>""</f>
        <v/>
      </c>
      <c r="K707" s="1" t="str">
        <f>""</f>
        <v/>
      </c>
      <c r="L707" s="1" t="str">
        <f t="shared" si="223"/>
        <v>R</v>
      </c>
      <c r="M707" s="1" t="str">
        <f t="shared" si="233"/>
        <v>T04</v>
      </c>
      <c r="N707" s="1" t="str">
        <f t="shared" si="226"/>
        <v>Y</v>
      </c>
      <c r="O707" s="1" t="str">
        <f t="shared" si="225"/>
        <v>Y</v>
      </c>
      <c r="P707" s="1" t="str">
        <f t="shared" si="224"/>
        <v>Y</v>
      </c>
      <c r="Q707" s="1" t="str">
        <f t="shared" si="228"/>
        <v>A</v>
      </c>
    </row>
    <row r="708" spans="1:17" x14ac:dyDescent="0.3">
      <c r="A708" s="1" t="str">
        <f t="shared" si="227"/>
        <v>C2</v>
      </c>
      <c r="B708" s="1" t="str">
        <f>"GNLDCT21"</f>
        <v>GNLDCT21</v>
      </c>
      <c r="C708" s="1" t="str">
        <f>"(저선량 흉부 CT) 기타"</f>
        <v>(저선량 흉부 CT) 기타</v>
      </c>
      <c r="D708" s="1" t="str">
        <f>"저선량 폐CT상 ( ) 소견 있습니다. 정확한 진단을 위해 호흡기 내과 진료를 받아보시기 바랍니다."</f>
        <v>저선량 폐CT상 ( ) 소견 있습니다. 정확한 진단을 위해 호흡기 내과 진료를 받아보시기 바랍니다.</v>
      </c>
      <c r="E708" s="1" t="str">
        <f t="shared" si="230"/>
        <v>WOK02</v>
      </c>
      <c r="F708" s="1" t="str">
        <f>"PTM01"</f>
        <v>PTM01</v>
      </c>
      <c r="G708" s="1" t="str">
        <f>""</f>
        <v/>
      </c>
      <c r="H708" s="1" t="str">
        <f t="shared" si="231"/>
        <v>REL02</v>
      </c>
      <c r="I708" s="1" t="str">
        <f t="shared" si="232"/>
        <v>HWFIRE23</v>
      </c>
      <c r="J708" s="1" t="str">
        <f>""</f>
        <v/>
      </c>
      <c r="K708" s="1" t="str">
        <f>""</f>
        <v/>
      </c>
      <c r="L708" s="1" t="str">
        <f t="shared" si="223"/>
        <v>R</v>
      </c>
      <c r="M708" s="1" t="str">
        <f t="shared" si="233"/>
        <v>T04</v>
      </c>
      <c r="N708" s="1" t="str">
        <f t="shared" si="226"/>
        <v>Y</v>
      </c>
      <c r="O708" s="1" t="str">
        <f t="shared" si="225"/>
        <v>Y</v>
      </c>
      <c r="P708" s="1" t="str">
        <f t="shared" si="224"/>
        <v>Y</v>
      </c>
      <c r="Q708" s="1" t="str">
        <f t="shared" si="228"/>
        <v>A</v>
      </c>
    </row>
    <row r="709" spans="1:17" x14ac:dyDescent="0.3">
      <c r="A709" s="1" t="str">
        <f t="shared" si="227"/>
        <v>C2</v>
      </c>
      <c r="B709" s="1" t="str">
        <f>"GNUBB02"</f>
        <v>GNUBB02</v>
      </c>
      <c r="C709" s="1" t="str">
        <f>"잠혈반응 있음"</f>
        <v>잠혈반응 있음</v>
      </c>
      <c r="D709" s="1" t="s">
        <v>231</v>
      </c>
      <c r="E709" s="1" t="str">
        <f t="shared" si="230"/>
        <v>WOK02</v>
      </c>
      <c r="F709" s="1" t="str">
        <f t="shared" ref="F709:F736" si="234">"PTM04"</f>
        <v>PTM04</v>
      </c>
      <c r="G709" s="1" t="str">
        <f>""</f>
        <v/>
      </c>
      <c r="H709" s="1" t="str">
        <f>"REL33"</f>
        <v>REL33</v>
      </c>
      <c r="I709" s="1" t="str">
        <f>""</f>
        <v/>
      </c>
      <c r="J709" s="1" t="str">
        <f>""</f>
        <v/>
      </c>
      <c r="K709" s="1" t="str">
        <f>""</f>
        <v/>
      </c>
      <c r="L709" s="1" t="str">
        <f t="shared" si="223"/>
        <v>R</v>
      </c>
      <c r="M709" s="1" t="str">
        <f>""</f>
        <v/>
      </c>
      <c r="N709" s="1" t="str">
        <f t="shared" si="226"/>
        <v>Y</v>
      </c>
      <c r="O709" s="1" t="str">
        <f t="shared" si="225"/>
        <v>Y</v>
      </c>
      <c r="P709" s="1" t="str">
        <f t="shared" si="224"/>
        <v>Y</v>
      </c>
      <c r="Q709" s="1" t="str">
        <f t="shared" si="228"/>
        <v>A</v>
      </c>
    </row>
    <row r="710" spans="1:17" x14ac:dyDescent="0.3">
      <c r="A710" s="1" t="str">
        <f t="shared" si="227"/>
        <v>C2</v>
      </c>
      <c r="B710" s="1" t="str">
        <f>"GNUCFS01"</f>
        <v>GNUCFS01</v>
      </c>
      <c r="C710" s="1" t="str">
        <f>"비특이적 회장염"</f>
        <v>비특이적 회장염</v>
      </c>
      <c r="D710" s="1" t="s">
        <v>232</v>
      </c>
      <c r="E710" s="1" t="str">
        <f t="shared" si="230"/>
        <v>WOK02</v>
      </c>
      <c r="F710" s="1" t="str">
        <f t="shared" si="234"/>
        <v>PTM04</v>
      </c>
      <c r="G710" s="1" t="str">
        <f>""</f>
        <v/>
      </c>
      <c r="H710" s="1" t="str">
        <f t="shared" ref="H710:H750" si="235">"REL37"</f>
        <v>REL37</v>
      </c>
      <c r="I710" s="1" t="str">
        <f>""</f>
        <v/>
      </c>
      <c r="J710" s="1" t="str">
        <f>""</f>
        <v/>
      </c>
      <c r="K710" s="1" t="str">
        <f>""</f>
        <v/>
      </c>
      <c r="L710" s="1" t="str">
        <f t="shared" si="223"/>
        <v>R</v>
      </c>
      <c r="M710" s="1" t="str">
        <f>"T20"</f>
        <v>T20</v>
      </c>
      <c r="N710" s="1" t="str">
        <f t="shared" si="226"/>
        <v>Y</v>
      </c>
      <c r="O710" s="1" t="str">
        <f t="shared" si="225"/>
        <v>Y</v>
      </c>
      <c r="P710" s="1" t="str">
        <f t="shared" si="224"/>
        <v>Y</v>
      </c>
      <c r="Q710" s="1" t="str">
        <f t="shared" si="228"/>
        <v>A</v>
      </c>
    </row>
    <row r="711" spans="1:17" x14ac:dyDescent="0.3">
      <c r="A711" s="1" t="str">
        <f t="shared" si="227"/>
        <v>C2</v>
      </c>
      <c r="B711" s="1" t="str">
        <f>"GNUGFS01"</f>
        <v>GNUGFS01</v>
      </c>
      <c r="C711" s="1" t="str">
        <f>"(조직검사)_직접기입"</f>
        <v>(조직검사)_직접기입</v>
      </c>
      <c r="D711" s="1" t="str">
        <f>"위내시경 중 시행한 조직검사 결과 (    )소견이 관찰됩니다."</f>
        <v>위내시경 중 시행한 조직검사 결과 (    )소견이 관찰됩니다.</v>
      </c>
      <c r="E711" s="1" t="str">
        <f t="shared" si="230"/>
        <v>WOK02</v>
      </c>
      <c r="F711" s="1" t="str">
        <f t="shared" si="234"/>
        <v>PTM04</v>
      </c>
      <c r="G711" s="1" t="str">
        <f t="shared" ref="G711:G750" si="236">"DIS600"</f>
        <v>DIS600</v>
      </c>
      <c r="H711" s="1" t="str">
        <f t="shared" si="235"/>
        <v>REL37</v>
      </c>
      <c r="I711" s="1" t="str">
        <f t="shared" ref="I711:I750" si="237">"HWFIRE11"</f>
        <v>HWFIRE11</v>
      </c>
      <c r="J711" s="1" t="str">
        <f t="shared" ref="J711:J750" si="238">"N01D"</f>
        <v>N01D</v>
      </c>
      <c r="K711" s="1" t="str">
        <f t="shared" ref="K711:K750" si="239">"N01C"</f>
        <v>N01C</v>
      </c>
      <c r="L711" s="1" t="str">
        <f t="shared" si="223"/>
        <v>R</v>
      </c>
      <c r="M711" s="1" t="str">
        <f t="shared" ref="M711:M750" si="240">"T201"</f>
        <v>T201</v>
      </c>
      <c r="N711" s="1" t="str">
        <f t="shared" si="226"/>
        <v>Y</v>
      </c>
      <c r="O711" s="1" t="str">
        <f t="shared" si="225"/>
        <v>Y</v>
      </c>
      <c r="P711" s="1" t="str">
        <f t="shared" si="224"/>
        <v>Y</v>
      </c>
      <c r="Q711" s="1" t="str">
        <f t="shared" si="228"/>
        <v>A</v>
      </c>
    </row>
    <row r="712" spans="1:17" x14ac:dyDescent="0.3">
      <c r="A712" s="1" t="str">
        <f t="shared" si="227"/>
        <v>C2</v>
      </c>
      <c r="B712" s="1" t="str">
        <f>"GNUGFS02"</f>
        <v>GNUGFS02</v>
      </c>
      <c r="C712" s="1" t="str">
        <f>"(조직검사_위) 장상피화생을 동반한 만성 위염"</f>
        <v>(조직검사_위) 장상피화생을 동반한 만성 위염</v>
      </c>
      <c r="D712" s="1" t="str">
        <f>"위 조직검사 결과 장상피화생을 동반한 만성 위염 소견입니다. 장상피화생이란 위점막 상피가 만성염증에 의해 장상피화 된 것을 말하며 이러한 점막에서 위암이 발생할 위험이 높은 것으로 알려져 있습니다. 1년간격의 추적 위내시경 권유드립니다."</f>
        <v>위 조직검사 결과 장상피화생을 동반한 만성 위염 소견입니다. 장상피화생이란 위점막 상피가 만성염증에 의해 장상피화 된 것을 말하며 이러한 점막에서 위암이 발생할 위험이 높은 것으로 알려져 있습니다. 1년간격의 추적 위내시경 권유드립니다.</v>
      </c>
      <c r="E712" s="1" t="str">
        <f t="shared" si="230"/>
        <v>WOK02</v>
      </c>
      <c r="F712" s="1" t="str">
        <f t="shared" si="234"/>
        <v>PTM04</v>
      </c>
      <c r="G712" s="1" t="str">
        <f t="shared" si="236"/>
        <v>DIS600</v>
      </c>
      <c r="H712" s="1" t="str">
        <f t="shared" si="235"/>
        <v>REL37</v>
      </c>
      <c r="I712" s="1" t="str">
        <f t="shared" si="237"/>
        <v>HWFIRE11</v>
      </c>
      <c r="J712" s="1" t="str">
        <f t="shared" si="238"/>
        <v>N01D</v>
      </c>
      <c r="K712" s="1" t="str">
        <f t="shared" si="239"/>
        <v>N01C</v>
      </c>
      <c r="L712" s="1" t="str">
        <f t="shared" si="223"/>
        <v>R</v>
      </c>
      <c r="M712" s="1" t="str">
        <f t="shared" si="240"/>
        <v>T201</v>
      </c>
      <c r="N712" s="1" t="str">
        <f t="shared" si="226"/>
        <v>Y</v>
      </c>
      <c r="O712" s="1" t="str">
        <f t="shared" si="225"/>
        <v>Y</v>
      </c>
      <c r="P712" s="1" t="str">
        <f t="shared" si="224"/>
        <v>Y</v>
      </c>
      <c r="Q712" s="1" t="str">
        <f t="shared" si="228"/>
        <v>A</v>
      </c>
    </row>
    <row r="713" spans="1:17" x14ac:dyDescent="0.3">
      <c r="A713" s="1" t="str">
        <f t="shared" si="227"/>
        <v>C2</v>
      </c>
      <c r="B713" s="1" t="str">
        <f>"GNUGFS03"</f>
        <v>GNUGFS03</v>
      </c>
      <c r="C713" s="1" t="str">
        <f>"(조직검사_위) 장상피화생을 동반한 만성 활동성 위염"</f>
        <v>(조직검사_위) 장상피화생을 동반한 만성 활동성 위염</v>
      </c>
      <c r="D713" s="1" t="str">
        <f>"위 조직검사 결과 장상피화생을 동반한 만성 활동성 위염 소견입니다. 장상피화생이란 위점막 상피가 만성염증에 의해 장상피화 된 것을 말하며 이러한 점막에서 위암이 발생할 위험이 높은 것으로 알려져 있습니다. 1년간격의 추적 위내시경 권유드립니다."</f>
        <v>위 조직검사 결과 장상피화생을 동반한 만성 활동성 위염 소견입니다. 장상피화생이란 위점막 상피가 만성염증에 의해 장상피화 된 것을 말하며 이러한 점막에서 위암이 발생할 위험이 높은 것으로 알려져 있습니다. 1년간격의 추적 위내시경 권유드립니다.</v>
      </c>
      <c r="E713" s="1" t="str">
        <f t="shared" si="230"/>
        <v>WOK02</v>
      </c>
      <c r="F713" s="1" t="str">
        <f t="shared" si="234"/>
        <v>PTM04</v>
      </c>
      <c r="G713" s="1" t="str">
        <f t="shared" si="236"/>
        <v>DIS600</v>
      </c>
      <c r="H713" s="1" t="str">
        <f t="shared" si="235"/>
        <v>REL37</v>
      </c>
      <c r="I713" s="1" t="str">
        <f t="shared" si="237"/>
        <v>HWFIRE11</v>
      </c>
      <c r="J713" s="1" t="str">
        <f t="shared" si="238"/>
        <v>N01D</v>
      </c>
      <c r="K713" s="1" t="str">
        <f t="shared" si="239"/>
        <v>N01C</v>
      </c>
      <c r="L713" s="1" t="str">
        <f t="shared" ref="L713:L776" si="241">"R"</f>
        <v>R</v>
      </c>
      <c r="M713" s="1" t="str">
        <f t="shared" si="240"/>
        <v>T201</v>
      </c>
      <c r="N713" s="1" t="str">
        <f t="shared" si="226"/>
        <v>Y</v>
      </c>
      <c r="O713" s="1" t="str">
        <f t="shared" si="225"/>
        <v>Y</v>
      </c>
      <c r="P713" s="1" t="str">
        <f t="shared" si="224"/>
        <v>Y</v>
      </c>
      <c r="Q713" s="1" t="str">
        <f t="shared" si="228"/>
        <v>A</v>
      </c>
    </row>
    <row r="714" spans="1:17" x14ac:dyDescent="0.3">
      <c r="A714" s="1" t="str">
        <f t="shared" si="227"/>
        <v>C2</v>
      </c>
      <c r="B714" s="1" t="str">
        <f>"GNUGFS04"</f>
        <v>GNUGFS04</v>
      </c>
      <c r="C714" s="1" t="str">
        <f>"역류성식도염(경도)"</f>
        <v>역류성식도염(경도)</v>
      </c>
      <c r="D714" s="1" t="s">
        <v>233</v>
      </c>
      <c r="E714" s="1" t="str">
        <f t="shared" si="230"/>
        <v>WOK02</v>
      </c>
      <c r="F714" s="1" t="str">
        <f t="shared" si="234"/>
        <v>PTM04</v>
      </c>
      <c r="G714" s="1" t="str">
        <f t="shared" si="236"/>
        <v>DIS600</v>
      </c>
      <c r="H714" s="1" t="str">
        <f t="shared" si="235"/>
        <v>REL37</v>
      </c>
      <c r="I714" s="1" t="str">
        <f t="shared" si="237"/>
        <v>HWFIRE11</v>
      </c>
      <c r="J714" s="1" t="str">
        <f t="shared" si="238"/>
        <v>N01D</v>
      </c>
      <c r="K714" s="1" t="str">
        <f t="shared" si="239"/>
        <v>N01C</v>
      </c>
      <c r="L714" s="1" t="str">
        <f t="shared" si="241"/>
        <v>R</v>
      </c>
      <c r="M714" s="1" t="str">
        <f t="shared" si="240"/>
        <v>T201</v>
      </c>
      <c r="N714" s="1" t="str">
        <f t="shared" si="226"/>
        <v>Y</v>
      </c>
      <c r="O714" s="1" t="str">
        <f t="shared" si="225"/>
        <v>Y</v>
      </c>
      <c r="P714" s="1" t="str">
        <f t="shared" ref="P714:P777" si="242">"Y"</f>
        <v>Y</v>
      </c>
      <c r="Q714" s="1" t="str">
        <f t="shared" si="228"/>
        <v>A</v>
      </c>
    </row>
    <row r="715" spans="1:17" x14ac:dyDescent="0.3">
      <c r="A715" s="1" t="str">
        <f t="shared" si="227"/>
        <v>C2</v>
      </c>
      <c r="B715" s="1" t="str">
        <f>"GNUGFS05"</f>
        <v>GNUGFS05</v>
      </c>
      <c r="C715" s="1" t="str">
        <f>"역류성식도염(치료 필요)"</f>
        <v>역류성식도염(치료 필요)</v>
      </c>
      <c r="D715" s="1" t="s">
        <v>233</v>
      </c>
      <c r="E715" s="1" t="str">
        <f t="shared" si="230"/>
        <v>WOK02</v>
      </c>
      <c r="F715" s="1" t="str">
        <f t="shared" si="234"/>
        <v>PTM04</v>
      </c>
      <c r="G715" s="1" t="str">
        <f t="shared" si="236"/>
        <v>DIS600</v>
      </c>
      <c r="H715" s="1" t="str">
        <f t="shared" si="235"/>
        <v>REL37</v>
      </c>
      <c r="I715" s="1" t="str">
        <f t="shared" si="237"/>
        <v>HWFIRE11</v>
      </c>
      <c r="J715" s="1" t="str">
        <f t="shared" si="238"/>
        <v>N01D</v>
      </c>
      <c r="K715" s="1" t="str">
        <f t="shared" si="239"/>
        <v>N01C</v>
      </c>
      <c r="L715" s="1" t="str">
        <f t="shared" si="241"/>
        <v>R</v>
      </c>
      <c r="M715" s="1" t="str">
        <f t="shared" si="240"/>
        <v>T201</v>
      </c>
      <c r="N715" s="1" t="str">
        <f t="shared" si="226"/>
        <v>Y</v>
      </c>
      <c r="O715" s="1" t="str">
        <f t="shared" si="225"/>
        <v>Y</v>
      </c>
      <c r="P715" s="1" t="str">
        <f t="shared" si="242"/>
        <v>Y</v>
      </c>
      <c r="Q715" s="1" t="str">
        <f t="shared" si="228"/>
        <v>A</v>
      </c>
    </row>
    <row r="716" spans="1:17" x14ac:dyDescent="0.3">
      <c r="A716" s="1" t="str">
        <f t="shared" si="227"/>
        <v>C2</v>
      </c>
      <c r="B716" s="1" t="str">
        <f>"GNUGFS06"</f>
        <v>GNUGFS06</v>
      </c>
      <c r="C716" s="1" t="str">
        <f>"식도 점막하종양"</f>
        <v>식도 점막하종양</v>
      </c>
      <c r="D716" s="1" t="s">
        <v>234</v>
      </c>
      <c r="E716" s="1" t="str">
        <f t="shared" si="230"/>
        <v>WOK02</v>
      </c>
      <c r="F716" s="1" t="str">
        <f t="shared" si="234"/>
        <v>PTM04</v>
      </c>
      <c r="G716" s="1" t="str">
        <f t="shared" si="236"/>
        <v>DIS600</v>
      </c>
      <c r="H716" s="1" t="str">
        <f t="shared" si="235"/>
        <v>REL37</v>
      </c>
      <c r="I716" s="1" t="str">
        <f t="shared" si="237"/>
        <v>HWFIRE11</v>
      </c>
      <c r="J716" s="1" t="str">
        <f t="shared" si="238"/>
        <v>N01D</v>
      </c>
      <c r="K716" s="1" t="str">
        <f t="shared" si="239"/>
        <v>N01C</v>
      </c>
      <c r="L716" s="1" t="str">
        <f t="shared" si="241"/>
        <v>R</v>
      </c>
      <c r="M716" s="1" t="str">
        <f t="shared" si="240"/>
        <v>T201</v>
      </c>
      <c r="N716" s="1" t="str">
        <f t="shared" si="226"/>
        <v>Y</v>
      </c>
      <c r="O716" s="1" t="str">
        <f t="shared" si="225"/>
        <v>Y</v>
      </c>
      <c r="P716" s="1" t="str">
        <f t="shared" si="242"/>
        <v>Y</v>
      </c>
      <c r="Q716" s="1" t="str">
        <f t="shared" si="228"/>
        <v>A</v>
      </c>
    </row>
    <row r="717" spans="1:17" x14ac:dyDescent="0.3">
      <c r="A717" s="1" t="str">
        <f t="shared" si="227"/>
        <v>C2</v>
      </c>
      <c r="B717" s="1" t="str">
        <f>"GNUGFS07"</f>
        <v>GNUGFS07</v>
      </c>
      <c r="C717" s="1" t="str">
        <f>"식도 궤양"</f>
        <v>식도 궤양</v>
      </c>
      <c r="D717" s="1" t="str">
        <f>"위내시경 검사에서 식도에 궤양 관찰됩니다. 감별진단 및 치료에 대한 상담 위해 소화기내과 진료 권유드립니다."</f>
        <v>위내시경 검사에서 식도에 궤양 관찰됩니다. 감별진단 및 치료에 대한 상담 위해 소화기내과 진료 권유드립니다.</v>
      </c>
      <c r="E717" s="1" t="str">
        <f t="shared" si="230"/>
        <v>WOK02</v>
      </c>
      <c r="F717" s="1" t="str">
        <f t="shared" si="234"/>
        <v>PTM04</v>
      </c>
      <c r="G717" s="1" t="str">
        <f t="shared" si="236"/>
        <v>DIS600</v>
      </c>
      <c r="H717" s="1" t="str">
        <f t="shared" si="235"/>
        <v>REL37</v>
      </c>
      <c r="I717" s="1" t="str">
        <f t="shared" si="237"/>
        <v>HWFIRE11</v>
      </c>
      <c r="J717" s="1" t="str">
        <f t="shared" si="238"/>
        <v>N01D</v>
      </c>
      <c r="K717" s="1" t="str">
        <f t="shared" si="239"/>
        <v>N01C</v>
      </c>
      <c r="L717" s="1" t="str">
        <f t="shared" si="241"/>
        <v>R</v>
      </c>
      <c r="M717" s="1" t="str">
        <f t="shared" si="240"/>
        <v>T201</v>
      </c>
      <c r="N717" s="1" t="str">
        <f t="shared" si="226"/>
        <v>Y</v>
      </c>
      <c r="O717" s="1" t="str">
        <f t="shared" si="225"/>
        <v>Y</v>
      </c>
      <c r="P717" s="1" t="str">
        <f t="shared" si="242"/>
        <v>Y</v>
      </c>
      <c r="Q717" s="1" t="str">
        <f t="shared" si="228"/>
        <v>A</v>
      </c>
    </row>
    <row r="718" spans="1:17" x14ac:dyDescent="0.3">
      <c r="A718" s="1" t="str">
        <f t="shared" si="227"/>
        <v>C2</v>
      </c>
      <c r="B718" s="1" t="str">
        <f>"GNUGFS08"</f>
        <v>GNUGFS08</v>
      </c>
      <c r="C718" s="1" t="str">
        <f>"식도 열공 탈장"</f>
        <v>식도 열공 탈장</v>
      </c>
      <c r="D718" s="1" t="s">
        <v>235</v>
      </c>
      <c r="E718" s="1" t="str">
        <f t="shared" si="230"/>
        <v>WOK02</v>
      </c>
      <c r="F718" s="1" t="str">
        <f t="shared" si="234"/>
        <v>PTM04</v>
      </c>
      <c r="G718" s="1" t="str">
        <f t="shared" si="236"/>
        <v>DIS600</v>
      </c>
      <c r="H718" s="1" t="str">
        <f t="shared" si="235"/>
        <v>REL37</v>
      </c>
      <c r="I718" s="1" t="str">
        <f t="shared" si="237"/>
        <v>HWFIRE11</v>
      </c>
      <c r="J718" s="1" t="str">
        <f t="shared" si="238"/>
        <v>N01D</v>
      </c>
      <c r="K718" s="1" t="str">
        <f t="shared" si="239"/>
        <v>N01C</v>
      </c>
      <c r="L718" s="1" t="str">
        <f t="shared" si="241"/>
        <v>R</v>
      </c>
      <c r="M718" s="1" t="str">
        <f t="shared" si="240"/>
        <v>T201</v>
      </c>
      <c r="N718" s="1" t="str">
        <f t="shared" si="226"/>
        <v>Y</v>
      </c>
      <c r="O718" s="1" t="str">
        <f t="shared" si="225"/>
        <v>Y</v>
      </c>
      <c r="P718" s="1" t="str">
        <f t="shared" si="242"/>
        <v>Y</v>
      </c>
      <c r="Q718" s="1" t="str">
        <f t="shared" si="228"/>
        <v>A</v>
      </c>
    </row>
    <row r="719" spans="1:17" x14ac:dyDescent="0.3">
      <c r="A719" s="1" t="str">
        <f t="shared" si="227"/>
        <v>C2</v>
      </c>
      <c r="B719" s="1" t="str">
        <f>"GNUGFS09"</f>
        <v>GNUGFS09</v>
      </c>
      <c r="C719" s="1" t="str">
        <f>"식도 게실"</f>
        <v>식도 게실</v>
      </c>
      <c r="D719" s="1" t="s">
        <v>236</v>
      </c>
      <c r="E719" s="1" t="str">
        <f t="shared" si="230"/>
        <v>WOK02</v>
      </c>
      <c r="F719" s="1" t="str">
        <f t="shared" si="234"/>
        <v>PTM04</v>
      </c>
      <c r="G719" s="1" t="str">
        <f t="shared" si="236"/>
        <v>DIS600</v>
      </c>
      <c r="H719" s="1" t="str">
        <f t="shared" si="235"/>
        <v>REL37</v>
      </c>
      <c r="I719" s="1" t="str">
        <f t="shared" si="237"/>
        <v>HWFIRE11</v>
      </c>
      <c r="J719" s="1" t="str">
        <f t="shared" si="238"/>
        <v>N01D</v>
      </c>
      <c r="K719" s="1" t="str">
        <f t="shared" si="239"/>
        <v>N01C</v>
      </c>
      <c r="L719" s="1" t="str">
        <f t="shared" si="241"/>
        <v>R</v>
      </c>
      <c r="M719" s="1" t="str">
        <f t="shared" si="240"/>
        <v>T201</v>
      </c>
      <c r="N719" s="1" t="str">
        <f t="shared" si="226"/>
        <v>Y</v>
      </c>
      <c r="O719" s="1" t="str">
        <f t="shared" si="225"/>
        <v>Y</v>
      </c>
      <c r="P719" s="1" t="str">
        <f t="shared" si="242"/>
        <v>Y</v>
      </c>
      <c r="Q719" s="1" t="str">
        <f t="shared" si="228"/>
        <v>A</v>
      </c>
    </row>
    <row r="720" spans="1:17" x14ac:dyDescent="0.3">
      <c r="A720" s="1" t="str">
        <f t="shared" si="227"/>
        <v>C2</v>
      </c>
      <c r="B720" s="1" t="str">
        <f>"GNUGFS10"</f>
        <v>GNUGFS10</v>
      </c>
      <c r="C720" s="1" t="str">
        <f>"식도 이형성 의증"</f>
        <v>식도 이형성 의증</v>
      </c>
      <c r="D720" s="1" t="str">
        <f>"위내시경 검사에서 이형성 의심되는 부위 관찰됩니다. 이형성은 악성으로 진행할 우려가 있는 병변을 말하며 간혹 악성병변이 존재함에도 조직검사에서 암세포 없이 이형성조직만 확인되는 경우도 있습니다. 상담 위해 소화기내과 진료 권유드립니다."</f>
        <v>위내시경 검사에서 이형성 의심되는 부위 관찰됩니다. 이형성은 악성으로 진행할 우려가 있는 병변을 말하며 간혹 악성병변이 존재함에도 조직검사에서 암세포 없이 이형성조직만 확인되는 경우도 있습니다. 상담 위해 소화기내과 진료 권유드립니다.</v>
      </c>
      <c r="E720" s="1" t="str">
        <f t="shared" si="230"/>
        <v>WOK02</v>
      </c>
      <c r="F720" s="1" t="str">
        <f t="shared" si="234"/>
        <v>PTM04</v>
      </c>
      <c r="G720" s="1" t="str">
        <f t="shared" si="236"/>
        <v>DIS600</v>
      </c>
      <c r="H720" s="1" t="str">
        <f t="shared" si="235"/>
        <v>REL37</v>
      </c>
      <c r="I720" s="1" t="str">
        <f t="shared" si="237"/>
        <v>HWFIRE11</v>
      </c>
      <c r="J720" s="1" t="str">
        <f t="shared" si="238"/>
        <v>N01D</v>
      </c>
      <c r="K720" s="1" t="str">
        <f t="shared" si="239"/>
        <v>N01C</v>
      </c>
      <c r="L720" s="1" t="str">
        <f t="shared" si="241"/>
        <v>R</v>
      </c>
      <c r="M720" s="1" t="str">
        <f t="shared" si="240"/>
        <v>T201</v>
      </c>
      <c r="N720" s="1" t="str">
        <f t="shared" si="226"/>
        <v>Y</v>
      </c>
      <c r="O720" s="1" t="str">
        <f t="shared" si="225"/>
        <v>Y</v>
      </c>
      <c r="P720" s="1" t="str">
        <f t="shared" si="242"/>
        <v>Y</v>
      </c>
      <c r="Q720" s="1" t="str">
        <f t="shared" si="228"/>
        <v>A</v>
      </c>
    </row>
    <row r="721" spans="1:17" x14ac:dyDescent="0.3">
      <c r="A721" s="1" t="str">
        <f t="shared" si="227"/>
        <v>C2</v>
      </c>
      <c r="B721" s="1" t="str">
        <f>"GNUGFS11"</f>
        <v>GNUGFS11</v>
      </c>
      <c r="C721" s="1" t="str">
        <f>"식도 정맥류"</f>
        <v>식도 정맥류</v>
      </c>
      <c r="D721" s="1" t="str">
        <f>"위내시경 검사에서 식도정맥류 관찰됩니다. 식도 정맥류는 식도 점막의 정맥이 확장된 상태를 말하며 주로 간경변증의 합병증으로 발생합니다. 이외에도 다양한 원인이 있을 수 있습니다. 치료 등 상담 위해 소화기내과 진료 받으시기 바랍니다."</f>
        <v>위내시경 검사에서 식도정맥류 관찰됩니다. 식도 정맥류는 식도 점막의 정맥이 확장된 상태를 말하며 주로 간경변증의 합병증으로 발생합니다. 이외에도 다양한 원인이 있을 수 있습니다. 치료 등 상담 위해 소화기내과 진료 받으시기 바랍니다.</v>
      </c>
      <c r="E721" s="1" t="str">
        <f t="shared" si="230"/>
        <v>WOK02</v>
      </c>
      <c r="F721" s="1" t="str">
        <f t="shared" si="234"/>
        <v>PTM04</v>
      </c>
      <c r="G721" s="1" t="str">
        <f t="shared" si="236"/>
        <v>DIS600</v>
      </c>
      <c r="H721" s="1" t="str">
        <f t="shared" si="235"/>
        <v>REL37</v>
      </c>
      <c r="I721" s="1" t="str">
        <f t="shared" si="237"/>
        <v>HWFIRE11</v>
      </c>
      <c r="J721" s="1" t="str">
        <f t="shared" si="238"/>
        <v>N01D</v>
      </c>
      <c r="K721" s="1" t="str">
        <f t="shared" si="239"/>
        <v>N01C</v>
      </c>
      <c r="L721" s="1" t="str">
        <f t="shared" si="241"/>
        <v>R</v>
      </c>
      <c r="M721" s="1" t="str">
        <f t="shared" si="240"/>
        <v>T201</v>
      </c>
      <c r="N721" s="1" t="str">
        <f t="shared" si="226"/>
        <v>Y</v>
      </c>
      <c r="O721" s="1" t="str">
        <f t="shared" si="225"/>
        <v>Y</v>
      </c>
      <c r="P721" s="1" t="str">
        <f t="shared" si="242"/>
        <v>Y</v>
      </c>
      <c r="Q721" s="1" t="str">
        <f t="shared" si="228"/>
        <v>A</v>
      </c>
    </row>
    <row r="722" spans="1:17" x14ac:dyDescent="0.3">
      <c r="A722" s="1" t="str">
        <f t="shared" si="227"/>
        <v>C2</v>
      </c>
      <c r="B722" s="1" t="str">
        <f>"GNUGFS13"</f>
        <v>GNUGFS13</v>
      </c>
      <c r="C722" s="1" t="str">
        <f>"식도 유두종"</f>
        <v>식도 유두종</v>
      </c>
      <c r="D722" s="1" t="str">
        <f>"위내시경 검사에서 식도에 유두종 관찰됩니다. 이는 대개 인간유두바이러스(HPV)의 감염이 원인이 되어 발생하는 작은 양성종양입니다. 정기적인 내시경 검사를 통해 모양과 크기의 변화를 경과관찰하시기 바랍니다."</f>
        <v>위내시경 검사에서 식도에 유두종 관찰됩니다. 이는 대개 인간유두바이러스(HPV)의 감염이 원인이 되어 발생하는 작은 양성종양입니다. 정기적인 내시경 검사를 통해 모양과 크기의 변화를 경과관찰하시기 바랍니다.</v>
      </c>
      <c r="E722" s="1" t="str">
        <f t="shared" si="230"/>
        <v>WOK02</v>
      </c>
      <c r="F722" s="1" t="str">
        <f t="shared" si="234"/>
        <v>PTM04</v>
      </c>
      <c r="G722" s="1" t="str">
        <f t="shared" si="236"/>
        <v>DIS600</v>
      </c>
      <c r="H722" s="1" t="str">
        <f t="shared" si="235"/>
        <v>REL37</v>
      </c>
      <c r="I722" s="1" t="str">
        <f t="shared" si="237"/>
        <v>HWFIRE11</v>
      </c>
      <c r="J722" s="1" t="str">
        <f t="shared" si="238"/>
        <v>N01D</v>
      </c>
      <c r="K722" s="1" t="str">
        <f t="shared" si="239"/>
        <v>N01C</v>
      </c>
      <c r="L722" s="1" t="str">
        <f t="shared" si="241"/>
        <v>R</v>
      </c>
      <c r="M722" s="1" t="str">
        <f t="shared" si="240"/>
        <v>T201</v>
      </c>
      <c r="N722" s="1" t="str">
        <f t="shared" si="226"/>
        <v>Y</v>
      </c>
      <c r="O722" s="1" t="str">
        <f t="shared" si="225"/>
        <v>Y</v>
      </c>
      <c r="P722" s="1" t="str">
        <f t="shared" si="242"/>
        <v>Y</v>
      </c>
      <c r="Q722" s="1" t="str">
        <f t="shared" si="228"/>
        <v>A</v>
      </c>
    </row>
    <row r="723" spans="1:17" x14ac:dyDescent="0.3">
      <c r="A723" s="1" t="str">
        <f t="shared" si="227"/>
        <v>C2</v>
      </c>
      <c r="B723" s="1" t="str">
        <f>"GNUGFS14"</f>
        <v>GNUGFS14</v>
      </c>
      <c r="C723" s="1" t="str">
        <f>"칸디다식도염"</f>
        <v>칸디다식도염</v>
      </c>
      <c r="D723" s="1" t="s">
        <v>237</v>
      </c>
      <c r="E723" s="1" t="str">
        <f t="shared" si="230"/>
        <v>WOK02</v>
      </c>
      <c r="F723" s="1" t="str">
        <f t="shared" si="234"/>
        <v>PTM04</v>
      </c>
      <c r="G723" s="1" t="str">
        <f t="shared" si="236"/>
        <v>DIS600</v>
      </c>
      <c r="H723" s="1" t="str">
        <f t="shared" si="235"/>
        <v>REL37</v>
      </c>
      <c r="I723" s="1" t="str">
        <f t="shared" si="237"/>
        <v>HWFIRE11</v>
      </c>
      <c r="J723" s="1" t="str">
        <f t="shared" si="238"/>
        <v>N01D</v>
      </c>
      <c r="K723" s="1" t="str">
        <f t="shared" si="239"/>
        <v>N01C</v>
      </c>
      <c r="L723" s="1" t="str">
        <f t="shared" si="241"/>
        <v>R</v>
      </c>
      <c r="M723" s="1" t="str">
        <f t="shared" si="240"/>
        <v>T201</v>
      </c>
      <c r="N723" s="1" t="str">
        <f t="shared" si="226"/>
        <v>Y</v>
      </c>
      <c r="O723" s="1" t="str">
        <f t="shared" si="225"/>
        <v>Y</v>
      </c>
      <c r="P723" s="1" t="str">
        <f t="shared" si="242"/>
        <v>Y</v>
      </c>
      <c r="Q723" s="1" t="str">
        <f t="shared" si="228"/>
        <v>A</v>
      </c>
    </row>
    <row r="724" spans="1:17" x14ac:dyDescent="0.3">
      <c r="A724" s="1" t="str">
        <f t="shared" si="227"/>
        <v>C2</v>
      </c>
      <c r="B724" s="1" t="str">
        <f>"GNUGFS15"</f>
        <v>GNUGFS15</v>
      </c>
      <c r="C724" s="1" t="str">
        <f>"바렛 식도"</f>
        <v>바렛 식도</v>
      </c>
      <c r="D724" s="1" t="s">
        <v>238</v>
      </c>
      <c r="E724" s="1" t="str">
        <f t="shared" si="230"/>
        <v>WOK02</v>
      </c>
      <c r="F724" s="1" t="str">
        <f t="shared" si="234"/>
        <v>PTM04</v>
      </c>
      <c r="G724" s="1" t="str">
        <f t="shared" si="236"/>
        <v>DIS600</v>
      </c>
      <c r="H724" s="1" t="str">
        <f t="shared" si="235"/>
        <v>REL37</v>
      </c>
      <c r="I724" s="1" t="str">
        <f t="shared" si="237"/>
        <v>HWFIRE11</v>
      </c>
      <c r="J724" s="1" t="str">
        <f t="shared" si="238"/>
        <v>N01D</v>
      </c>
      <c r="K724" s="1" t="str">
        <f t="shared" si="239"/>
        <v>N01C</v>
      </c>
      <c r="L724" s="1" t="str">
        <f t="shared" si="241"/>
        <v>R</v>
      </c>
      <c r="M724" s="1" t="str">
        <f t="shared" si="240"/>
        <v>T201</v>
      </c>
      <c r="N724" s="1" t="str">
        <f t="shared" si="226"/>
        <v>Y</v>
      </c>
      <c r="O724" s="1" t="str">
        <f t="shared" si="225"/>
        <v>Y</v>
      </c>
      <c r="P724" s="1" t="str">
        <f t="shared" si="242"/>
        <v>Y</v>
      </c>
      <c r="Q724" s="1" t="str">
        <f t="shared" si="228"/>
        <v>A</v>
      </c>
    </row>
    <row r="725" spans="1:17" x14ac:dyDescent="0.3">
      <c r="A725" s="1" t="str">
        <f t="shared" si="227"/>
        <v>C2</v>
      </c>
      <c r="B725" s="1" t="str">
        <f>"GNUGFS16"</f>
        <v>GNUGFS16</v>
      </c>
      <c r="C725" s="1" t="str">
        <f>"말로리-바이스 증후군"</f>
        <v>말로리-바이스 증후군</v>
      </c>
      <c r="D725" s="1" t="s">
        <v>239</v>
      </c>
      <c r="E725" s="1" t="str">
        <f t="shared" si="230"/>
        <v>WOK02</v>
      </c>
      <c r="F725" s="1" t="str">
        <f t="shared" si="234"/>
        <v>PTM04</v>
      </c>
      <c r="G725" s="1" t="str">
        <f t="shared" si="236"/>
        <v>DIS600</v>
      </c>
      <c r="H725" s="1" t="str">
        <f t="shared" si="235"/>
        <v>REL37</v>
      </c>
      <c r="I725" s="1" t="str">
        <f t="shared" si="237"/>
        <v>HWFIRE11</v>
      </c>
      <c r="J725" s="1" t="str">
        <f t="shared" si="238"/>
        <v>N01D</v>
      </c>
      <c r="K725" s="1" t="str">
        <f t="shared" si="239"/>
        <v>N01C</v>
      </c>
      <c r="L725" s="1" t="str">
        <f t="shared" si="241"/>
        <v>R</v>
      </c>
      <c r="M725" s="1" t="str">
        <f t="shared" si="240"/>
        <v>T201</v>
      </c>
      <c r="N725" s="1" t="str">
        <f t="shared" si="226"/>
        <v>Y</v>
      </c>
      <c r="O725" s="1" t="str">
        <f t="shared" si="225"/>
        <v>Y</v>
      </c>
      <c r="P725" s="1" t="str">
        <f t="shared" si="242"/>
        <v>Y</v>
      </c>
      <c r="Q725" s="1" t="str">
        <f t="shared" si="228"/>
        <v>A</v>
      </c>
    </row>
    <row r="726" spans="1:17" x14ac:dyDescent="0.3">
      <c r="A726" s="1" t="str">
        <f t="shared" si="227"/>
        <v>C2</v>
      </c>
      <c r="B726" s="1" t="str">
        <f>"GNUGFS17"</f>
        <v>GNUGFS17</v>
      </c>
      <c r="C726" s="1" t="str">
        <f>"식도 보초 용종"</f>
        <v>식도 보초 용종</v>
      </c>
      <c r="D726" s="1" t="s">
        <v>240</v>
      </c>
      <c r="E726" s="1" t="str">
        <f t="shared" si="230"/>
        <v>WOK02</v>
      </c>
      <c r="F726" s="1" t="str">
        <f t="shared" si="234"/>
        <v>PTM04</v>
      </c>
      <c r="G726" s="1" t="str">
        <f t="shared" si="236"/>
        <v>DIS600</v>
      </c>
      <c r="H726" s="1" t="str">
        <f t="shared" si="235"/>
        <v>REL37</v>
      </c>
      <c r="I726" s="1" t="str">
        <f t="shared" si="237"/>
        <v>HWFIRE11</v>
      </c>
      <c r="J726" s="1" t="str">
        <f t="shared" si="238"/>
        <v>N01D</v>
      </c>
      <c r="K726" s="1" t="str">
        <f t="shared" si="239"/>
        <v>N01C</v>
      </c>
      <c r="L726" s="1" t="str">
        <f t="shared" si="241"/>
        <v>R</v>
      </c>
      <c r="M726" s="1" t="str">
        <f t="shared" si="240"/>
        <v>T201</v>
      </c>
      <c r="N726" s="1" t="str">
        <f t="shared" si="226"/>
        <v>Y</v>
      </c>
      <c r="O726" s="1" t="str">
        <f t="shared" si="225"/>
        <v>Y</v>
      </c>
      <c r="P726" s="1" t="str">
        <f t="shared" si="242"/>
        <v>Y</v>
      </c>
      <c r="Q726" s="1" t="str">
        <f t="shared" si="228"/>
        <v>A</v>
      </c>
    </row>
    <row r="727" spans="1:17" x14ac:dyDescent="0.3">
      <c r="A727" s="1" t="str">
        <f t="shared" si="227"/>
        <v>C2</v>
      </c>
      <c r="B727" s="1" t="str">
        <f>"GNUGFS18"</f>
        <v>GNUGFS18</v>
      </c>
      <c r="C727" s="1" t="str">
        <f>"식도 수술 후 상태"</f>
        <v>식도 수술 후 상태</v>
      </c>
      <c r="D727" s="1" t="str">
        <f>"위내시경 검사에서 식도 수술 후 상태 관찰되며 수술부위 특이 이상소견 없었습니다. 경과관찰 하시면 되겠습니다."</f>
        <v>위내시경 검사에서 식도 수술 후 상태 관찰되며 수술부위 특이 이상소견 없었습니다. 경과관찰 하시면 되겠습니다.</v>
      </c>
      <c r="E727" s="1" t="str">
        <f t="shared" si="230"/>
        <v>WOK02</v>
      </c>
      <c r="F727" s="1" t="str">
        <f t="shared" si="234"/>
        <v>PTM04</v>
      </c>
      <c r="G727" s="1" t="str">
        <f t="shared" si="236"/>
        <v>DIS600</v>
      </c>
      <c r="H727" s="1" t="str">
        <f t="shared" si="235"/>
        <v>REL37</v>
      </c>
      <c r="I727" s="1" t="str">
        <f t="shared" si="237"/>
        <v>HWFIRE11</v>
      </c>
      <c r="J727" s="1" t="str">
        <f t="shared" si="238"/>
        <v>N01D</v>
      </c>
      <c r="K727" s="1" t="str">
        <f t="shared" si="239"/>
        <v>N01C</v>
      </c>
      <c r="L727" s="1" t="str">
        <f t="shared" si="241"/>
        <v>R</v>
      </c>
      <c r="M727" s="1" t="str">
        <f t="shared" si="240"/>
        <v>T201</v>
      </c>
      <c r="N727" s="1" t="str">
        <f t="shared" si="226"/>
        <v>Y</v>
      </c>
      <c r="O727" s="1" t="str">
        <f t="shared" si="225"/>
        <v>Y</v>
      </c>
      <c r="P727" s="1" t="str">
        <f t="shared" si="242"/>
        <v>Y</v>
      </c>
      <c r="Q727" s="1" t="str">
        <f t="shared" si="228"/>
        <v>A</v>
      </c>
    </row>
    <row r="728" spans="1:17" x14ac:dyDescent="0.3">
      <c r="A728" s="1" t="str">
        <f t="shared" si="227"/>
        <v>C2</v>
      </c>
      <c r="B728" s="1" t="str">
        <f>"GNUGFS19"</f>
        <v>GNUGFS19</v>
      </c>
      <c r="C728" s="1" t="str">
        <f>"위염"</f>
        <v>위염</v>
      </c>
      <c r="D728" s="1" t="s">
        <v>241</v>
      </c>
      <c r="E728" s="1" t="str">
        <f t="shared" si="230"/>
        <v>WOK02</v>
      </c>
      <c r="F728" s="1" t="str">
        <f t="shared" si="234"/>
        <v>PTM04</v>
      </c>
      <c r="G728" s="1" t="str">
        <f t="shared" si="236"/>
        <v>DIS600</v>
      </c>
      <c r="H728" s="1" t="str">
        <f t="shared" si="235"/>
        <v>REL37</v>
      </c>
      <c r="I728" s="1" t="str">
        <f t="shared" si="237"/>
        <v>HWFIRE11</v>
      </c>
      <c r="J728" s="1" t="str">
        <f t="shared" si="238"/>
        <v>N01D</v>
      </c>
      <c r="K728" s="1" t="str">
        <f t="shared" si="239"/>
        <v>N01C</v>
      </c>
      <c r="L728" s="1" t="str">
        <f t="shared" si="241"/>
        <v>R</v>
      </c>
      <c r="M728" s="1" t="str">
        <f t="shared" si="240"/>
        <v>T201</v>
      </c>
      <c r="N728" s="1" t="str">
        <f t="shared" si="226"/>
        <v>Y</v>
      </c>
      <c r="O728" s="1" t="str">
        <f t="shared" si="225"/>
        <v>Y</v>
      </c>
      <c r="P728" s="1" t="str">
        <f t="shared" si="242"/>
        <v>Y</v>
      </c>
      <c r="Q728" s="1" t="str">
        <f t="shared" si="228"/>
        <v>A</v>
      </c>
    </row>
    <row r="729" spans="1:17" x14ac:dyDescent="0.3">
      <c r="A729" s="1" t="str">
        <f t="shared" si="227"/>
        <v>C2</v>
      </c>
      <c r="B729" s="1" t="str">
        <f>"GNUGFS20"</f>
        <v>GNUGFS20</v>
      </c>
      <c r="C729" s="1" t="str">
        <f>"위축성 위염"</f>
        <v>위축성 위염</v>
      </c>
      <c r="D729" s="1" t="s">
        <v>242</v>
      </c>
      <c r="E729" s="1" t="str">
        <f t="shared" si="230"/>
        <v>WOK02</v>
      </c>
      <c r="F729" s="1" t="str">
        <f t="shared" si="234"/>
        <v>PTM04</v>
      </c>
      <c r="G729" s="1" t="str">
        <f t="shared" si="236"/>
        <v>DIS600</v>
      </c>
      <c r="H729" s="1" t="str">
        <f t="shared" si="235"/>
        <v>REL37</v>
      </c>
      <c r="I729" s="1" t="str">
        <f t="shared" si="237"/>
        <v>HWFIRE11</v>
      </c>
      <c r="J729" s="1" t="str">
        <f t="shared" si="238"/>
        <v>N01D</v>
      </c>
      <c r="K729" s="1" t="str">
        <f t="shared" si="239"/>
        <v>N01C</v>
      </c>
      <c r="L729" s="1" t="str">
        <f t="shared" si="241"/>
        <v>R</v>
      </c>
      <c r="M729" s="1" t="str">
        <f t="shared" si="240"/>
        <v>T201</v>
      </c>
      <c r="N729" s="1" t="str">
        <f t="shared" si="226"/>
        <v>Y</v>
      </c>
      <c r="O729" s="1" t="str">
        <f t="shared" ref="O729:O792" si="243">"Y"</f>
        <v>Y</v>
      </c>
      <c r="P729" s="1" t="str">
        <f t="shared" si="242"/>
        <v>Y</v>
      </c>
      <c r="Q729" s="1" t="str">
        <f t="shared" si="228"/>
        <v>A</v>
      </c>
    </row>
    <row r="730" spans="1:17" x14ac:dyDescent="0.3">
      <c r="A730" s="1" t="str">
        <f t="shared" si="227"/>
        <v>C2</v>
      </c>
      <c r="B730" s="1" t="str">
        <f>"GNUGFS21"</f>
        <v>GNUGFS21</v>
      </c>
      <c r="C730" s="1" t="str">
        <f>"위 궤양"</f>
        <v>위 궤양</v>
      </c>
      <c r="D730" s="1" t="s">
        <v>243</v>
      </c>
      <c r="E730" s="1" t="str">
        <f t="shared" si="230"/>
        <v>WOK02</v>
      </c>
      <c r="F730" s="1" t="str">
        <f t="shared" si="234"/>
        <v>PTM04</v>
      </c>
      <c r="G730" s="1" t="str">
        <f t="shared" si="236"/>
        <v>DIS600</v>
      </c>
      <c r="H730" s="1" t="str">
        <f t="shared" si="235"/>
        <v>REL37</v>
      </c>
      <c r="I730" s="1" t="str">
        <f t="shared" si="237"/>
        <v>HWFIRE11</v>
      </c>
      <c r="J730" s="1" t="str">
        <f t="shared" si="238"/>
        <v>N01D</v>
      </c>
      <c r="K730" s="1" t="str">
        <f t="shared" si="239"/>
        <v>N01C</v>
      </c>
      <c r="L730" s="1" t="str">
        <f t="shared" si="241"/>
        <v>R</v>
      </c>
      <c r="M730" s="1" t="str">
        <f t="shared" si="240"/>
        <v>T201</v>
      </c>
      <c r="N730" s="1" t="str">
        <f t="shared" si="226"/>
        <v>Y</v>
      </c>
      <c r="O730" s="1" t="str">
        <f t="shared" si="243"/>
        <v>Y</v>
      </c>
      <c r="P730" s="1" t="str">
        <f t="shared" si="242"/>
        <v>Y</v>
      </c>
      <c r="Q730" s="1" t="str">
        <f t="shared" si="228"/>
        <v>A</v>
      </c>
    </row>
    <row r="731" spans="1:17" x14ac:dyDescent="0.3">
      <c r="A731" s="1" t="str">
        <f t="shared" si="227"/>
        <v>C2</v>
      </c>
      <c r="B731" s="1" t="str">
        <f>"GNUGFS22"</f>
        <v>GNUGFS22</v>
      </c>
      <c r="C731" s="1" t="str">
        <f>"위 궤양 흔적"</f>
        <v>위 궤양 흔적</v>
      </c>
      <c r="D731" s="1" t="str">
        <f>"위내시경 검사에서 위 궤양 흔적 관찰됩니다. 이는 이전의 활동성 궤양이 아문 흔적을 말하며 드물지만 악성종양과의 감별이 필요합니다. 추적 위내시경 권유드립니다."</f>
        <v>위내시경 검사에서 위 궤양 흔적 관찰됩니다. 이는 이전의 활동성 궤양이 아문 흔적을 말하며 드물지만 악성종양과의 감별이 필요합니다. 추적 위내시경 권유드립니다.</v>
      </c>
      <c r="E731" s="1" t="str">
        <f t="shared" si="230"/>
        <v>WOK02</v>
      </c>
      <c r="F731" s="1" t="str">
        <f t="shared" si="234"/>
        <v>PTM04</v>
      </c>
      <c r="G731" s="1" t="str">
        <f t="shared" si="236"/>
        <v>DIS600</v>
      </c>
      <c r="H731" s="1" t="str">
        <f t="shared" si="235"/>
        <v>REL37</v>
      </c>
      <c r="I731" s="1" t="str">
        <f t="shared" si="237"/>
        <v>HWFIRE11</v>
      </c>
      <c r="J731" s="1" t="str">
        <f t="shared" si="238"/>
        <v>N01D</v>
      </c>
      <c r="K731" s="1" t="str">
        <f t="shared" si="239"/>
        <v>N01C</v>
      </c>
      <c r="L731" s="1" t="str">
        <f t="shared" si="241"/>
        <v>R</v>
      </c>
      <c r="M731" s="1" t="str">
        <f t="shared" si="240"/>
        <v>T201</v>
      </c>
      <c r="N731" s="1" t="str">
        <f t="shared" si="226"/>
        <v>Y</v>
      </c>
      <c r="O731" s="1" t="str">
        <f t="shared" si="243"/>
        <v>Y</v>
      </c>
      <c r="P731" s="1" t="str">
        <f t="shared" si="242"/>
        <v>Y</v>
      </c>
      <c r="Q731" s="1" t="str">
        <f t="shared" si="228"/>
        <v>A</v>
      </c>
    </row>
    <row r="732" spans="1:17" x14ac:dyDescent="0.3">
      <c r="A732" s="1" t="str">
        <f t="shared" si="227"/>
        <v>C2</v>
      </c>
      <c r="B732" s="1" t="str">
        <f>"GNUGFS23"</f>
        <v>GNUGFS23</v>
      </c>
      <c r="C732" s="1" t="str">
        <f>"위 장상피화생"</f>
        <v>위 장상피화생</v>
      </c>
      <c r="D732" s="1" t="str">
        <f>"위내시경 검사에서 장상피화생 관찰됩니다. 장상피화생이란 위점막 상피가 만성염증으로 인해 장상피처럼 변형된 것을 말합니다. 정상 점막에 비해 악성질환 발생 위험도가 높은 것으로 알려져 있어 1년간격의 내시경 추적검사 권유드립니다."</f>
        <v>위내시경 검사에서 장상피화생 관찰됩니다. 장상피화생이란 위점막 상피가 만성염증으로 인해 장상피처럼 변형된 것을 말합니다. 정상 점막에 비해 악성질환 발생 위험도가 높은 것으로 알려져 있어 1년간격의 내시경 추적검사 권유드립니다.</v>
      </c>
      <c r="E732" s="1" t="str">
        <f t="shared" si="230"/>
        <v>WOK02</v>
      </c>
      <c r="F732" s="1" t="str">
        <f t="shared" si="234"/>
        <v>PTM04</v>
      </c>
      <c r="G732" s="1" t="str">
        <f t="shared" si="236"/>
        <v>DIS600</v>
      </c>
      <c r="H732" s="1" t="str">
        <f t="shared" si="235"/>
        <v>REL37</v>
      </c>
      <c r="I732" s="1" t="str">
        <f t="shared" si="237"/>
        <v>HWFIRE11</v>
      </c>
      <c r="J732" s="1" t="str">
        <f t="shared" si="238"/>
        <v>N01D</v>
      </c>
      <c r="K732" s="1" t="str">
        <f t="shared" si="239"/>
        <v>N01C</v>
      </c>
      <c r="L732" s="1" t="str">
        <f t="shared" si="241"/>
        <v>R</v>
      </c>
      <c r="M732" s="1" t="str">
        <f t="shared" si="240"/>
        <v>T201</v>
      </c>
      <c r="N732" s="1" t="str">
        <f t="shared" ref="N732:N795" si="244">"Y"</f>
        <v>Y</v>
      </c>
      <c r="O732" s="1" t="str">
        <f t="shared" si="243"/>
        <v>Y</v>
      </c>
      <c r="P732" s="1" t="str">
        <f t="shared" si="242"/>
        <v>Y</v>
      </c>
      <c r="Q732" s="1" t="str">
        <f t="shared" si="228"/>
        <v>A</v>
      </c>
    </row>
    <row r="733" spans="1:17" x14ac:dyDescent="0.3">
      <c r="A733" s="1" t="str">
        <f t="shared" si="227"/>
        <v>C2</v>
      </c>
      <c r="B733" s="1" t="str">
        <f>"GNUGFS24"</f>
        <v>GNUGFS24</v>
      </c>
      <c r="C733" s="1" t="str">
        <f>"위 점막하종양 (1cm 미만)"</f>
        <v>위 점막하종양 (1cm 미만)</v>
      </c>
      <c r="D733" s="1" t="s">
        <v>244</v>
      </c>
      <c r="E733" s="1" t="str">
        <f t="shared" si="230"/>
        <v>WOK02</v>
      </c>
      <c r="F733" s="1" t="str">
        <f t="shared" si="234"/>
        <v>PTM04</v>
      </c>
      <c r="G733" s="1" t="str">
        <f t="shared" si="236"/>
        <v>DIS600</v>
      </c>
      <c r="H733" s="1" t="str">
        <f t="shared" si="235"/>
        <v>REL37</v>
      </c>
      <c r="I733" s="1" t="str">
        <f t="shared" si="237"/>
        <v>HWFIRE11</v>
      </c>
      <c r="J733" s="1" t="str">
        <f t="shared" si="238"/>
        <v>N01D</v>
      </c>
      <c r="K733" s="1" t="str">
        <f t="shared" si="239"/>
        <v>N01C</v>
      </c>
      <c r="L733" s="1" t="str">
        <f t="shared" si="241"/>
        <v>R</v>
      </c>
      <c r="M733" s="1" t="str">
        <f t="shared" si="240"/>
        <v>T201</v>
      </c>
      <c r="N733" s="1" t="str">
        <f t="shared" si="244"/>
        <v>Y</v>
      </c>
      <c r="O733" s="1" t="str">
        <f t="shared" si="243"/>
        <v>Y</v>
      </c>
      <c r="P733" s="1" t="str">
        <f t="shared" si="242"/>
        <v>Y</v>
      </c>
      <c r="Q733" s="1" t="str">
        <f t="shared" si="228"/>
        <v>A</v>
      </c>
    </row>
    <row r="734" spans="1:17" x14ac:dyDescent="0.3">
      <c r="A734" s="1" t="str">
        <f t="shared" si="227"/>
        <v>C2</v>
      </c>
      <c r="B734" s="1" t="str">
        <f>"GNUGFS25"</f>
        <v>GNUGFS25</v>
      </c>
      <c r="C734" s="1" t="str">
        <f>"위 점막하종양 (1cm 이상)"</f>
        <v>위 점막하종양 (1cm 이상)</v>
      </c>
      <c r="D734" s="1" t="s">
        <v>245</v>
      </c>
      <c r="E734" s="1" t="str">
        <f t="shared" si="230"/>
        <v>WOK02</v>
      </c>
      <c r="F734" s="1" t="str">
        <f t="shared" si="234"/>
        <v>PTM04</v>
      </c>
      <c r="G734" s="1" t="str">
        <f t="shared" si="236"/>
        <v>DIS600</v>
      </c>
      <c r="H734" s="1" t="str">
        <f t="shared" si="235"/>
        <v>REL37</v>
      </c>
      <c r="I734" s="1" t="str">
        <f t="shared" si="237"/>
        <v>HWFIRE11</v>
      </c>
      <c r="J734" s="1" t="str">
        <f t="shared" si="238"/>
        <v>N01D</v>
      </c>
      <c r="K734" s="1" t="str">
        <f t="shared" si="239"/>
        <v>N01C</v>
      </c>
      <c r="L734" s="1" t="str">
        <f t="shared" si="241"/>
        <v>R</v>
      </c>
      <c r="M734" s="1" t="str">
        <f t="shared" si="240"/>
        <v>T201</v>
      </c>
      <c r="N734" s="1" t="str">
        <f t="shared" si="244"/>
        <v>Y</v>
      </c>
      <c r="O734" s="1" t="str">
        <f t="shared" si="243"/>
        <v>Y</v>
      </c>
      <c r="P734" s="1" t="str">
        <f t="shared" si="242"/>
        <v>Y</v>
      </c>
      <c r="Q734" s="1" t="str">
        <f t="shared" si="228"/>
        <v>A</v>
      </c>
    </row>
    <row r="735" spans="1:17" x14ac:dyDescent="0.3">
      <c r="A735" s="1" t="str">
        <f t="shared" si="227"/>
        <v>C2</v>
      </c>
      <c r="B735" s="1" t="str">
        <f>"GNUGFS26"</f>
        <v>GNUGFS26</v>
      </c>
      <c r="C735" s="1" t="str">
        <f>"담즙역류성 위염"</f>
        <v>담즙역류성 위염</v>
      </c>
      <c r="D735" s="1" t="str">
        <f>"위내시경 검사에서 담즙역류성 위염 관찰됩니다. 십이지장으로 나오는 담즙이 위로 역류하여 발생하는 증상입니다. 위 수술을 받은 경우 흔히 발생할 수 있으나 위장관 이상에 의해서도 발생할 수 있습니다. 불편한 증상 있으면 소화기내과 진료 받으시기 바랍니다."</f>
        <v>위내시경 검사에서 담즙역류성 위염 관찰됩니다. 십이지장으로 나오는 담즙이 위로 역류하여 발생하는 증상입니다. 위 수술을 받은 경우 흔히 발생할 수 있으나 위장관 이상에 의해서도 발생할 수 있습니다. 불편한 증상 있으면 소화기내과 진료 받으시기 바랍니다.</v>
      </c>
      <c r="E735" s="1" t="str">
        <f t="shared" si="230"/>
        <v>WOK02</v>
      </c>
      <c r="F735" s="1" t="str">
        <f t="shared" si="234"/>
        <v>PTM04</v>
      </c>
      <c r="G735" s="1" t="str">
        <f t="shared" si="236"/>
        <v>DIS600</v>
      </c>
      <c r="H735" s="1" t="str">
        <f t="shared" si="235"/>
        <v>REL37</v>
      </c>
      <c r="I735" s="1" t="str">
        <f t="shared" si="237"/>
        <v>HWFIRE11</v>
      </c>
      <c r="J735" s="1" t="str">
        <f t="shared" si="238"/>
        <v>N01D</v>
      </c>
      <c r="K735" s="1" t="str">
        <f t="shared" si="239"/>
        <v>N01C</v>
      </c>
      <c r="L735" s="1" t="str">
        <f t="shared" si="241"/>
        <v>R</v>
      </c>
      <c r="M735" s="1" t="str">
        <f t="shared" si="240"/>
        <v>T201</v>
      </c>
      <c r="N735" s="1" t="str">
        <f t="shared" si="244"/>
        <v>Y</v>
      </c>
      <c r="O735" s="1" t="str">
        <f t="shared" si="243"/>
        <v>Y</v>
      </c>
      <c r="P735" s="1" t="str">
        <f t="shared" si="242"/>
        <v>Y</v>
      </c>
      <c r="Q735" s="1" t="str">
        <f t="shared" si="228"/>
        <v>A</v>
      </c>
    </row>
    <row r="736" spans="1:17" x14ac:dyDescent="0.3">
      <c r="A736" s="1" t="str">
        <f t="shared" ref="A736:A799" si="245">"C2"</f>
        <v>C2</v>
      </c>
      <c r="B736" s="1" t="str">
        <f>"GNUGFS27"</f>
        <v>GNUGFS27</v>
      </c>
      <c r="C736" s="1" t="str">
        <f>"림프여포성 위염"</f>
        <v>림프여포성 위염</v>
      </c>
      <c r="D736" s="1" t="s">
        <v>246</v>
      </c>
      <c r="E736" s="1" t="str">
        <f t="shared" si="230"/>
        <v>WOK02</v>
      </c>
      <c r="F736" s="1" t="str">
        <f t="shared" si="234"/>
        <v>PTM04</v>
      </c>
      <c r="G736" s="1" t="str">
        <f t="shared" si="236"/>
        <v>DIS600</v>
      </c>
      <c r="H736" s="1" t="str">
        <f t="shared" si="235"/>
        <v>REL37</v>
      </c>
      <c r="I736" s="1" t="str">
        <f t="shared" si="237"/>
        <v>HWFIRE11</v>
      </c>
      <c r="J736" s="1" t="str">
        <f t="shared" si="238"/>
        <v>N01D</v>
      </c>
      <c r="K736" s="1" t="str">
        <f t="shared" si="239"/>
        <v>N01C</v>
      </c>
      <c r="L736" s="1" t="str">
        <f t="shared" si="241"/>
        <v>R</v>
      </c>
      <c r="M736" s="1" t="str">
        <f t="shared" si="240"/>
        <v>T201</v>
      </c>
      <c r="N736" s="1" t="str">
        <f t="shared" si="244"/>
        <v>Y</v>
      </c>
      <c r="O736" s="1" t="str">
        <f t="shared" si="243"/>
        <v>Y</v>
      </c>
      <c r="P736" s="1" t="str">
        <f t="shared" si="242"/>
        <v>Y</v>
      </c>
      <c r="Q736" s="1" t="str">
        <f t="shared" si="228"/>
        <v>A</v>
      </c>
    </row>
    <row r="737" spans="1:17" x14ac:dyDescent="0.3">
      <c r="A737" s="1" t="str">
        <f t="shared" si="245"/>
        <v>C2</v>
      </c>
      <c r="B737" s="1" t="str">
        <f>"GNUGFS30"</f>
        <v>GNUGFS30</v>
      </c>
      <c r="C737" s="1" t="str">
        <f>"위 수술 후 상태"</f>
        <v>위 수술 후 상태</v>
      </c>
      <c r="D737" s="1" t="str">
        <f>"위내시경 검사에서 위 수술 후 상태 관찰되며 특이 이상 없습니다. 경과관찰 하시면 되겠습니다."</f>
        <v>위내시경 검사에서 위 수술 후 상태 관찰되며 특이 이상 없습니다. 경과관찰 하시면 되겠습니다.</v>
      </c>
      <c r="E737" s="1" t="str">
        <f t="shared" si="230"/>
        <v>WOK02</v>
      </c>
      <c r="F737" s="1" t="str">
        <f>"PTM011"</f>
        <v>PTM011</v>
      </c>
      <c r="G737" s="1" t="str">
        <f t="shared" si="236"/>
        <v>DIS600</v>
      </c>
      <c r="H737" s="1" t="str">
        <f t="shared" si="235"/>
        <v>REL37</v>
      </c>
      <c r="I737" s="1" t="str">
        <f t="shared" si="237"/>
        <v>HWFIRE11</v>
      </c>
      <c r="J737" s="1" t="str">
        <f t="shared" si="238"/>
        <v>N01D</v>
      </c>
      <c r="K737" s="1" t="str">
        <f t="shared" si="239"/>
        <v>N01C</v>
      </c>
      <c r="L737" s="1" t="str">
        <f t="shared" si="241"/>
        <v>R</v>
      </c>
      <c r="M737" s="1" t="str">
        <f t="shared" si="240"/>
        <v>T201</v>
      </c>
      <c r="N737" s="1" t="str">
        <f t="shared" si="244"/>
        <v>Y</v>
      </c>
      <c r="O737" s="1" t="str">
        <f t="shared" si="243"/>
        <v>Y</v>
      </c>
      <c r="P737" s="1" t="str">
        <f t="shared" si="242"/>
        <v>Y</v>
      </c>
      <c r="Q737" s="1" t="str">
        <f t="shared" si="228"/>
        <v>A</v>
      </c>
    </row>
    <row r="738" spans="1:17" x14ac:dyDescent="0.3">
      <c r="A738" s="1" t="str">
        <f t="shared" si="245"/>
        <v>C2</v>
      </c>
      <c r="B738" s="1" t="str">
        <f>"GNUGFS31"</f>
        <v>GNUGFS31</v>
      </c>
      <c r="C738" s="1" t="str">
        <f>"위 정맥류"</f>
        <v>위 정맥류</v>
      </c>
      <c r="D738" s="1" t="str">
        <f>"위내시경 검사에서 위정맥류 관찰됩니다. 위 점막 부위의 정맥이 커진 것을 말하며 대개 간경변증의 합병증으로 발생합니다. 간경변증 이외에도 다양한 원인이 있을 수 있으므로 기저질환에 대한 확인 및 정맥류에 대한 치료 위해 소화기내과 진료 받으시기 바랍니다."</f>
        <v>위내시경 검사에서 위정맥류 관찰됩니다. 위 점막 부위의 정맥이 커진 것을 말하며 대개 간경변증의 합병증으로 발생합니다. 간경변증 이외에도 다양한 원인이 있을 수 있으므로 기저질환에 대한 확인 및 정맥류에 대한 치료 위해 소화기내과 진료 받으시기 바랍니다.</v>
      </c>
      <c r="E738" s="1" t="str">
        <f t="shared" si="230"/>
        <v>WOK02</v>
      </c>
      <c r="F738" s="1" t="str">
        <f>"PTM04"</f>
        <v>PTM04</v>
      </c>
      <c r="G738" s="1" t="str">
        <f t="shared" si="236"/>
        <v>DIS600</v>
      </c>
      <c r="H738" s="1" t="str">
        <f t="shared" si="235"/>
        <v>REL37</v>
      </c>
      <c r="I738" s="1" t="str">
        <f t="shared" si="237"/>
        <v>HWFIRE11</v>
      </c>
      <c r="J738" s="1" t="str">
        <f t="shared" si="238"/>
        <v>N01D</v>
      </c>
      <c r="K738" s="1" t="str">
        <f t="shared" si="239"/>
        <v>N01C</v>
      </c>
      <c r="L738" s="1" t="str">
        <f t="shared" si="241"/>
        <v>R</v>
      </c>
      <c r="M738" s="1" t="str">
        <f t="shared" si="240"/>
        <v>T201</v>
      </c>
      <c r="N738" s="1" t="str">
        <f t="shared" si="244"/>
        <v>Y</v>
      </c>
      <c r="O738" s="1" t="str">
        <f t="shared" si="243"/>
        <v>Y</v>
      </c>
      <c r="P738" s="1" t="str">
        <f t="shared" si="242"/>
        <v>Y</v>
      </c>
      <c r="Q738" s="1" t="str">
        <f t="shared" ref="Q738:Q801" si="246">"A"</f>
        <v>A</v>
      </c>
    </row>
    <row r="739" spans="1:17" x14ac:dyDescent="0.3">
      <c r="A739" s="1" t="str">
        <f t="shared" si="245"/>
        <v>C2</v>
      </c>
      <c r="B739" s="1" t="str">
        <f>"GNUGFS32"</f>
        <v>GNUGFS32</v>
      </c>
      <c r="C739" s="1" t="str">
        <f>"위 혈관이형성증"</f>
        <v>위 혈관이형성증</v>
      </c>
      <c r="D739" s="1" t="str">
        <f>"위내시경 검사에서 혈관이형성증 관찰됩니다. 점막에 혈관이 확장된 붉은 점 양상의 병변을 말합니다. 대개 특별한 치료가 필요없는 양성병변이지만 간혹 출혈이 발생하는 경우도 있습니다. 경과관찰하시고 의심 증상 있으면 소화기내과 진료 받으시기 바랍니다."</f>
        <v>위내시경 검사에서 혈관이형성증 관찰됩니다. 점막에 혈관이 확장된 붉은 점 양상의 병변을 말합니다. 대개 특별한 치료가 필요없는 양성병변이지만 간혹 출혈이 발생하는 경우도 있습니다. 경과관찰하시고 의심 증상 있으면 소화기내과 진료 받으시기 바랍니다.</v>
      </c>
      <c r="E739" s="1" t="str">
        <f t="shared" si="230"/>
        <v>WOK02</v>
      </c>
      <c r="F739" s="1" t="str">
        <f>"PTM011"</f>
        <v>PTM011</v>
      </c>
      <c r="G739" s="1" t="str">
        <f t="shared" si="236"/>
        <v>DIS600</v>
      </c>
      <c r="H739" s="1" t="str">
        <f t="shared" si="235"/>
        <v>REL37</v>
      </c>
      <c r="I739" s="1" t="str">
        <f t="shared" si="237"/>
        <v>HWFIRE11</v>
      </c>
      <c r="J739" s="1" t="str">
        <f t="shared" si="238"/>
        <v>N01D</v>
      </c>
      <c r="K739" s="1" t="str">
        <f t="shared" si="239"/>
        <v>N01C</v>
      </c>
      <c r="L739" s="1" t="str">
        <f t="shared" si="241"/>
        <v>R</v>
      </c>
      <c r="M739" s="1" t="str">
        <f t="shared" si="240"/>
        <v>T201</v>
      </c>
      <c r="N739" s="1" t="str">
        <f t="shared" si="244"/>
        <v>Y</v>
      </c>
      <c r="O739" s="1" t="str">
        <f t="shared" si="243"/>
        <v>Y</v>
      </c>
      <c r="P739" s="1" t="str">
        <f t="shared" si="242"/>
        <v>Y</v>
      </c>
      <c r="Q739" s="1" t="str">
        <f t="shared" si="246"/>
        <v>A</v>
      </c>
    </row>
    <row r="740" spans="1:17" x14ac:dyDescent="0.3">
      <c r="A740" s="1" t="str">
        <f t="shared" si="245"/>
        <v>C2</v>
      </c>
      <c r="B740" s="1" t="str">
        <f>"GNUGFS33"</f>
        <v>GNUGFS33</v>
      </c>
      <c r="C740" s="1" t="str">
        <f>"헬리코박터균 검사 양성"</f>
        <v>헬리코박터균 검사 양성</v>
      </c>
      <c r="D740" s="1" t="str">
        <f>"위내시경 중 시행한 헬리코박터균 검사결과 양성 확인되며 이는 현재 감염상태임을 의미합니다. 헬리코박터균은 위장관 염증질환 및 종양질환을 유발할 수 있어 감염이 확인된 경우 제균치료가 권장됩니다. 소화기내과 진료 받으시기 바랍니다."</f>
        <v>위내시경 중 시행한 헬리코박터균 검사결과 양성 확인되며 이는 현재 감염상태임을 의미합니다. 헬리코박터균은 위장관 염증질환 및 종양질환을 유발할 수 있어 감염이 확인된 경우 제균치료가 권장됩니다. 소화기내과 진료 받으시기 바랍니다.</v>
      </c>
      <c r="E740" s="1" t="str">
        <f t="shared" si="230"/>
        <v>WOK02</v>
      </c>
      <c r="F740" s="1" t="str">
        <f>"PTM04"</f>
        <v>PTM04</v>
      </c>
      <c r="G740" s="1" t="str">
        <f t="shared" si="236"/>
        <v>DIS600</v>
      </c>
      <c r="H740" s="1" t="str">
        <f t="shared" si="235"/>
        <v>REL37</v>
      </c>
      <c r="I740" s="1" t="str">
        <f t="shared" si="237"/>
        <v>HWFIRE11</v>
      </c>
      <c r="J740" s="1" t="str">
        <f t="shared" si="238"/>
        <v>N01D</v>
      </c>
      <c r="K740" s="1" t="str">
        <f t="shared" si="239"/>
        <v>N01C</v>
      </c>
      <c r="L740" s="1" t="str">
        <f t="shared" si="241"/>
        <v>R</v>
      </c>
      <c r="M740" s="1" t="str">
        <f t="shared" si="240"/>
        <v>T201</v>
      </c>
      <c r="N740" s="1" t="str">
        <f t="shared" si="244"/>
        <v>Y</v>
      </c>
      <c r="O740" s="1" t="str">
        <f t="shared" si="243"/>
        <v>Y</v>
      </c>
      <c r="P740" s="1" t="str">
        <f t="shared" si="242"/>
        <v>Y</v>
      </c>
      <c r="Q740" s="1" t="str">
        <f t="shared" si="246"/>
        <v>A</v>
      </c>
    </row>
    <row r="741" spans="1:17" x14ac:dyDescent="0.3">
      <c r="A741" s="1" t="str">
        <f t="shared" si="245"/>
        <v>C2</v>
      </c>
      <c r="B741" s="1" t="str">
        <f>"GNUGFS34"</f>
        <v>GNUGFS34</v>
      </c>
      <c r="C741" s="1" t="str">
        <f>"십이지장 궤양"</f>
        <v>십이지장 궤양</v>
      </c>
      <c r="D741" s="1" t="s">
        <v>247</v>
      </c>
      <c r="E741" s="1" t="str">
        <f t="shared" si="230"/>
        <v>WOK02</v>
      </c>
      <c r="F741" s="1" t="str">
        <f>"PTM04"</f>
        <v>PTM04</v>
      </c>
      <c r="G741" s="1" t="str">
        <f t="shared" si="236"/>
        <v>DIS600</v>
      </c>
      <c r="H741" s="1" t="str">
        <f t="shared" si="235"/>
        <v>REL37</v>
      </c>
      <c r="I741" s="1" t="str">
        <f t="shared" si="237"/>
        <v>HWFIRE11</v>
      </c>
      <c r="J741" s="1" t="str">
        <f t="shared" si="238"/>
        <v>N01D</v>
      </c>
      <c r="K741" s="1" t="str">
        <f t="shared" si="239"/>
        <v>N01C</v>
      </c>
      <c r="L741" s="1" t="str">
        <f t="shared" si="241"/>
        <v>R</v>
      </c>
      <c r="M741" s="1" t="str">
        <f t="shared" si="240"/>
        <v>T201</v>
      </c>
      <c r="N741" s="1" t="str">
        <f t="shared" si="244"/>
        <v>Y</v>
      </c>
      <c r="O741" s="1" t="str">
        <f t="shared" si="243"/>
        <v>Y</v>
      </c>
      <c r="P741" s="1" t="str">
        <f t="shared" si="242"/>
        <v>Y</v>
      </c>
      <c r="Q741" s="1" t="str">
        <f t="shared" si="246"/>
        <v>A</v>
      </c>
    </row>
    <row r="742" spans="1:17" x14ac:dyDescent="0.3">
      <c r="A742" s="1" t="str">
        <f t="shared" si="245"/>
        <v>C2</v>
      </c>
      <c r="B742" s="1" t="str">
        <f>"GNUGFS35"</f>
        <v>GNUGFS35</v>
      </c>
      <c r="C742" s="1" t="str">
        <f>"십이지장 궤양 흔적"</f>
        <v>십이지장 궤양 흔적</v>
      </c>
      <c r="D742" s="1" t="str">
        <f>"위내시경 검사에서 십이지장 궤양 흔적이 관찰됩니다. 이는 이전의 활동성 궤양이 아문 흔적을 말하며 경과관찰 하시면 되겠습니다."</f>
        <v>위내시경 검사에서 십이지장 궤양 흔적이 관찰됩니다. 이는 이전의 활동성 궤양이 아문 흔적을 말하며 경과관찰 하시면 되겠습니다.</v>
      </c>
      <c r="E742" s="1" t="str">
        <f t="shared" si="230"/>
        <v>WOK02</v>
      </c>
      <c r="F742" s="1" t="str">
        <f>"PTM04"</f>
        <v>PTM04</v>
      </c>
      <c r="G742" s="1" t="str">
        <f t="shared" si="236"/>
        <v>DIS600</v>
      </c>
      <c r="H742" s="1" t="str">
        <f t="shared" si="235"/>
        <v>REL37</v>
      </c>
      <c r="I742" s="1" t="str">
        <f t="shared" si="237"/>
        <v>HWFIRE11</v>
      </c>
      <c r="J742" s="1" t="str">
        <f t="shared" si="238"/>
        <v>N01D</v>
      </c>
      <c r="K742" s="1" t="str">
        <f t="shared" si="239"/>
        <v>N01C</v>
      </c>
      <c r="L742" s="1" t="str">
        <f t="shared" si="241"/>
        <v>R</v>
      </c>
      <c r="M742" s="1" t="str">
        <f t="shared" si="240"/>
        <v>T201</v>
      </c>
      <c r="N742" s="1" t="str">
        <f t="shared" si="244"/>
        <v>Y</v>
      </c>
      <c r="O742" s="1" t="str">
        <f t="shared" si="243"/>
        <v>Y</v>
      </c>
      <c r="P742" s="1" t="str">
        <f t="shared" si="242"/>
        <v>Y</v>
      </c>
      <c r="Q742" s="1" t="str">
        <f t="shared" si="246"/>
        <v>A</v>
      </c>
    </row>
    <row r="743" spans="1:17" x14ac:dyDescent="0.3">
      <c r="A743" s="1" t="str">
        <f t="shared" si="245"/>
        <v>C2</v>
      </c>
      <c r="B743" s="1" t="str">
        <f>"GNUGFS36"</f>
        <v>GNUGFS36</v>
      </c>
      <c r="C743" s="1" t="str">
        <f>"십이지장염"</f>
        <v>십이지장염</v>
      </c>
      <c r="D743" s="1" t="s">
        <v>248</v>
      </c>
      <c r="E743" s="1" t="str">
        <f t="shared" si="230"/>
        <v>WOK02</v>
      </c>
      <c r="F743" s="1" t="str">
        <f>"PTM04"</f>
        <v>PTM04</v>
      </c>
      <c r="G743" s="1" t="str">
        <f t="shared" si="236"/>
        <v>DIS600</v>
      </c>
      <c r="H743" s="1" t="str">
        <f t="shared" si="235"/>
        <v>REL37</v>
      </c>
      <c r="I743" s="1" t="str">
        <f t="shared" si="237"/>
        <v>HWFIRE11</v>
      </c>
      <c r="J743" s="1" t="str">
        <f t="shared" si="238"/>
        <v>N01D</v>
      </c>
      <c r="K743" s="1" t="str">
        <f t="shared" si="239"/>
        <v>N01C</v>
      </c>
      <c r="L743" s="1" t="str">
        <f t="shared" si="241"/>
        <v>R</v>
      </c>
      <c r="M743" s="1" t="str">
        <f t="shared" si="240"/>
        <v>T201</v>
      </c>
      <c r="N743" s="1" t="str">
        <f t="shared" si="244"/>
        <v>Y</v>
      </c>
      <c r="O743" s="1" t="str">
        <f t="shared" si="243"/>
        <v>Y</v>
      </c>
      <c r="P743" s="1" t="str">
        <f t="shared" si="242"/>
        <v>Y</v>
      </c>
      <c r="Q743" s="1" t="str">
        <f t="shared" si="246"/>
        <v>A</v>
      </c>
    </row>
    <row r="744" spans="1:17" x14ac:dyDescent="0.3">
      <c r="A744" s="1" t="str">
        <f t="shared" si="245"/>
        <v>C2</v>
      </c>
      <c r="B744" s="1" t="str">
        <f>"GNUGFS37"</f>
        <v>GNUGFS37</v>
      </c>
      <c r="C744" s="1" t="str">
        <f>"십이지장 점막하종양"</f>
        <v>십이지장 점막하종양</v>
      </c>
      <c r="D744" s="1" t="s">
        <v>249</v>
      </c>
      <c r="E744" s="1" t="str">
        <f t="shared" si="230"/>
        <v>WOK02</v>
      </c>
      <c r="F744" s="1" t="str">
        <f>"PTM04"</f>
        <v>PTM04</v>
      </c>
      <c r="G744" s="1" t="str">
        <f t="shared" si="236"/>
        <v>DIS600</v>
      </c>
      <c r="H744" s="1" t="str">
        <f t="shared" si="235"/>
        <v>REL37</v>
      </c>
      <c r="I744" s="1" t="str">
        <f t="shared" si="237"/>
        <v>HWFIRE11</v>
      </c>
      <c r="J744" s="1" t="str">
        <f t="shared" si="238"/>
        <v>N01D</v>
      </c>
      <c r="K744" s="1" t="str">
        <f t="shared" si="239"/>
        <v>N01C</v>
      </c>
      <c r="L744" s="1" t="str">
        <f t="shared" si="241"/>
        <v>R</v>
      </c>
      <c r="M744" s="1" t="str">
        <f t="shared" si="240"/>
        <v>T201</v>
      </c>
      <c r="N744" s="1" t="str">
        <f t="shared" si="244"/>
        <v>Y</v>
      </c>
      <c r="O744" s="1" t="str">
        <f t="shared" si="243"/>
        <v>Y</v>
      </c>
      <c r="P744" s="1" t="str">
        <f t="shared" si="242"/>
        <v>Y</v>
      </c>
      <c r="Q744" s="1" t="str">
        <f t="shared" si="246"/>
        <v>A</v>
      </c>
    </row>
    <row r="745" spans="1:17" x14ac:dyDescent="0.3">
      <c r="A745" s="1" t="str">
        <f t="shared" si="245"/>
        <v>C2</v>
      </c>
      <c r="B745" s="1" t="str">
        <f>"GNUGFS38"</f>
        <v>GNUGFS38</v>
      </c>
      <c r="C745" s="1" t="str">
        <f>"십이지장 게실"</f>
        <v>십이지장 게실</v>
      </c>
      <c r="D745" s="1" t="str">
        <f>"위내시경 검사에서 십이지장에 게실 관찰됩니다. 게실은 점막 일부가 약해지면서 함몰되어 생긴 작은 주머니 모양의 구조를 말합니다. 특별한 이상소견은 아니며 경과관찰 하시면 되겠습니다."</f>
        <v>위내시경 검사에서 십이지장에 게실 관찰됩니다. 게실은 점막 일부가 약해지면서 함몰되어 생긴 작은 주머니 모양의 구조를 말합니다. 특별한 이상소견은 아니며 경과관찰 하시면 되겠습니다.</v>
      </c>
      <c r="E745" s="1" t="str">
        <f t="shared" si="230"/>
        <v>WOK02</v>
      </c>
      <c r="F745" s="1" t="str">
        <f>"PTM011"</f>
        <v>PTM011</v>
      </c>
      <c r="G745" s="1" t="str">
        <f t="shared" si="236"/>
        <v>DIS600</v>
      </c>
      <c r="H745" s="1" t="str">
        <f t="shared" si="235"/>
        <v>REL37</v>
      </c>
      <c r="I745" s="1" t="str">
        <f t="shared" si="237"/>
        <v>HWFIRE11</v>
      </c>
      <c r="J745" s="1" t="str">
        <f t="shared" si="238"/>
        <v>N01D</v>
      </c>
      <c r="K745" s="1" t="str">
        <f t="shared" si="239"/>
        <v>N01C</v>
      </c>
      <c r="L745" s="1" t="str">
        <f t="shared" si="241"/>
        <v>R</v>
      </c>
      <c r="M745" s="1" t="str">
        <f t="shared" si="240"/>
        <v>T201</v>
      </c>
      <c r="N745" s="1" t="str">
        <f t="shared" si="244"/>
        <v>Y</v>
      </c>
      <c r="O745" s="1" t="str">
        <f t="shared" si="243"/>
        <v>Y</v>
      </c>
      <c r="P745" s="1" t="str">
        <f t="shared" si="242"/>
        <v>Y</v>
      </c>
      <c r="Q745" s="1" t="str">
        <f t="shared" si="246"/>
        <v>A</v>
      </c>
    </row>
    <row r="746" spans="1:17" x14ac:dyDescent="0.3">
      <c r="A746" s="1" t="str">
        <f t="shared" si="245"/>
        <v>C2</v>
      </c>
      <c r="B746" s="1" t="str">
        <f>"GNUGFS39"</f>
        <v>GNUGFS39</v>
      </c>
      <c r="C746" s="1" t="str">
        <f>"십이지장 용종"</f>
        <v>십이지장 용종</v>
      </c>
      <c r="D746" s="1" t="str">
        <f>"위내시경 검사에서 십이지장에 용종 관찰됩니다. 십이지장 용종은 대개 양성병변이나 종양과의 감별이 필요할 수도 있습니다. 경과관찰을 위해 1년후 내시경 추적검사 권유드립니다."</f>
        <v>위내시경 검사에서 십이지장에 용종 관찰됩니다. 십이지장 용종은 대개 양성병변이나 종양과의 감별이 필요할 수도 있습니다. 경과관찰을 위해 1년후 내시경 추적검사 권유드립니다.</v>
      </c>
      <c r="E746" s="1" t="str">
        <f t="shared" si="230"/>
        <v>WOK02</v>
      </c>
      <c r="F746" s="1" t="str">
        <f>"PTM04"</f>
        <v>PTM04</v>
      </c>
      <c r="G746" s="1" t="str">
        <f t="shared" si="236"/>
        <v>DIS600</v>
      </c>
      <c r="H746" s="1" t="str">
        <f t="shared" si="235"/>
        <v>REL37</v>
      </c>
      <c r="I746" s="1" t="str">
        <f t="shared" si="237"/>
        <v>HWFIRE11</v>
      </c>
      <c r="J746" s="1" t="str">
        <f t="shared" si="238"/>
        <v>N01D</v>
      </c>
      <c r="K746" s="1" t="str">
        <f t="shared" si="239"/>
        <v>N01C</v>
      </c>
      <c r="L746" s="1" t="str">
        <f t="shared" si="241"/>
        <v>R</v>
      </c>
      <c r="M746" s="1" t="str">
        <f t="shared" si="240"/>
        <v>T201</v>
      </c>
      <c r="N746" s="1" t="str">
        <f t="shared" si="244"/>
        <v>Y</v>
      </c>
      <c r="O746" s="1" t="str">
        <f t="shared" si="243"/>
        <v>Y</v>
      </c>
      <c r="P746" s="1" t="str">
        <f t="shared" si="242"/>
        <v>Y</v>
      </c>
      <c r="Q746" s="1" t="str">
        <f t="shared" si="246"/>
        <v>A</v>
      </c>
    </row>
    <row r="747" spans="1:17" x14ac:dyDescent="0.3">
      <c r="A747" s="1" t="str">
        <f t="shared" si="245"/>
        <v>C2</v>
      </c>
      <c r="B747" s="1" t="str">
        <f>"GNUGFS41"</f>
        <v>GNUGFS41</v>
      </c>
      <c r="C747" s="1" t="str">
        <f>"(직접기입)"</f>
        <v>(직접기입)</v>
      </c>
      <c r="D747" s="1" t="str">
        <f>"위내시경 검사 중 (  ) 관찰됩니다."</f>
        <v>위내시경 검사 중 (  ) 관찰됩니다.</v>
      </c>
      <c r="E747" s="1" t="str">
        <f t="shared" si="230"/>
        <v>WOK02</v>
      </c>
      <c r="F747" s="1" t="str">
        <f>"PTM04"</f>
        <v>PTM04</v>
      </c>
      <c r="G747" s="1" t="str">
        <f t="shared" si="236"/>
        <v>DIS600</v>
      </c>
      <c r="H747" s="1" t="str">
        <f t="shared" si="235"/>
        <v>REL37</v>
      </c>
      <c r="I747" s="1" t="str">
        <f t="shared" si="237"/>
        <v>HWFIRE11</v>
      </c>
      <c r="J747" s="1" t="str">
        <f t="shared" si="238"/>
        <v>N01D</v>
      </c>
      <c r="K747" s="1" t="str">
        <f t="shared" si="239"/>
        <v>N01C</v>
      </c>
      <c r="L747" s="1" t="str">
        <f t="shared" si="241"/>
        <v>R</v>
      </c>
      <c r="M747" s="1" t="str">
        <f t="shared" si="240"/>
        <v>T201</v>
      </c>
      <c r="N747" s="1" t="str">
        <f t="shared" si="244"/>
        <v>Y</v>
      </c>
      <c r="O747" s="1" t="str">
        <f t="shared" si="243"/>
        <v>Y</v>
      </c>
      <c r="P747" s="1" t="str">
        <f t="shared" si="242"/>
        <v>Y</v>
      </c>
      <c r="Q747" s="1" t="str">
        <f t="shared" si="246"/>
        <v>A</v>
      </c>
    </row>
    <row r="748" spans="1:17" x14ac:dyDescent="0.3">
      <c r="A748" s="1" t="str">
        <f t="shared" si="245"/>
        <v>C2</v>
      </c>
      <c r="B748" s="1" t="str">
        <f>"GNUGFS42"</f>
        <v>GNUGFS42</v>
      </c>
      <c r="C748" s="1" t="str">
        <f>"위 속 고래회충"</f>
        <v>위 속 고래회충</v>
      </c>
      <c r="D748" s="1" t="s">
        <v>250</v>
      </c>
      <c r="E748" s="1" t="str">
        <f t="shared" si="230"/>
        <v>WOK02</v>
      </c>
      <c r="F748" s="1" t="str">
        <f>"PTM011"</f>
        <v>PTM011</v>
      </c>
      <c r="G748" s="1" t="str">
        <f t="shared" si="236"/>
        <v>DIS600</v>
      </c>
      <c r="H748" s="1" t="str">
        <f t="shared" si="235"/>
        <v>REL37</v>
      </c>
      <c r="I748" s="1" t="str">
        <f t="shared" si="237"/>
        <v>HWFIRE11</v>
      </c>
      <c r="J748" s="1" t="str">
        <f t="shared" si="238"/>
        <v>N01D</v>
      </c>
      <c r="K748" s="1" t="str">
        <f t="shared" si="239"/>
        <v>N01C</v>
      </c>
      <c r="L748" s="1" t="str">
        <f t="shared" si="241"/>
        <v>R</v>
      </c>
      <c r="M748" s="1" t="str">
        <f t="shared" si="240"/>
        <v>T201</v>
      </c>
      <c r="N748" s="1" t="str">
        <f t="shared" si="244"/>
        <v>Y</v>
      </c>
      <c r="O748" s="1" t="str">
        <f t="shared" si="243"/>
        <v>Y</v>
      </c>
      <c r="P748" s="1" t="str">
        <f t="shared" si="242"/>
        <v>Y</v>
      </c>
      <c r="Q748" s="1" t="str">
        <f t="shared" si="246"/>
        <v>A</v>
      </c>
    </row>
    <row r="749" spans="1:17" x14ac:dyDescent="0.3">
      <c r="A749" s="1" t="str">
        <f t="shared" si="245"/>
        <v>C2</v>
      </c>
      <c r="B749" s="1" t="str">
        <f>"GNUGFS43"</f>
        <v>GNUGFS43</v>
      </c>
      <c r="C749" s="1" t="str">
        <f>"위 이소성 췌장"</f>
        <v>위 이소성 췌장</v>
      </c>
      <c r="D749" s="1" t="str">
        <f>"위내시경 검사에서 이소성 췌장 관찰됩니다. 이는 췌장조직의 일부가 위에서 자란 것으로 양성질환에 해당합니다. 소화불량 등 불편한 증상 있으면 소화기내과 진료 권유드립니다."</f>
        <v>위내시경 검사에서 이소성 췌장 관찰됩니다. 이는 췌장조직의 일부가 위에서 자란 것으로 양성질환에 해당합니다. 소화불량 등 불편한 증상 있으면 소화기내과 진료 권유드립니다.</v>
      </c>
      <c r="E749" s="1" t="str">
        <f t="shared" si="230"/>
        <v>WOK02</v>
      </c>
      <c r="F749" s="1" t="str">
        <f>"PTM011"</f>
        <v>PTM011</v>
      </c>
      <c r="G749" s="1" t="str">
        <f t="shared" si="236"/>
        <v>DIS600</v>
      </c>
      <c r="H749" s="1" t="str">
        <f t="shared" si="235"/>
        <v>REL37</v>
      </c>
      <c r="I749" s="1" t="str">
        <f t="shared" si="237"/>
        <v>HWFIRE11</v>
      </c>
      <c r="J749" s="1" t="str">
        <f t="shared" si="238"/>
        <v>N01D</v>
      </c>
      <c r="K749" s="1" t="str">
        <f t="shared" si="239"/>
        <v>N01C</v>
      </c>
      <c r="L749" s="1" t="str">
        <f t="shared" si="241"/>
        <v>R</v>
      </c>
      <c r="M749" s="1" t="str">
        <f t="shared" si="240"/>
        <v>T201</v>
      </c>
      <c r="N749" s="1" t="str">
        <f t="shared" si="244"/>
        <v>Y</v>
      </c>
      <c r="O749" s="1" t="str">
        <f t="shared" si="243"/>
        <v>Y</v>
      </c>
      <c r="P749" s="1" t="str">
        <f t="shared" si="242"/>
        <v>Y</v>
      </c>
      <c r="Q749" s="1" t="str">
        <f t="shared" si="246"/>
        <v>A</v>
      </c>
    </row>
    <row r="750" spans="1:17" x14ac:dyDescent="0.3">
      <c r="A750" s="1" t="str">
        <f t="shared" si="245"/>
        <v>C2</v>
      </c>
      <c r="B750" s="1" t="str">
        <f>"GNUGFS44"</f>
        <v>GNUGFS44</v>
      </c>
      <c r="C750" s="1" t="str">
        <f>"내시경 외부압박"</f>
        <v>내시경 외부압박</v>
      </c>
      <c r="D750" s="1" t="s">
        <v>251</v>
      </c>
      <c r="E750" s="1" t="str">
        <f t="shared" si="230"/>
        <v>WOK02</v>
      </c>
      <c r="F750" s="1" t="str">
        <f>"PTM011"</f>
        <v>PTM011</v>
      </c>
      <c r="G750" s="1" t="str">
        <f t="shared" si="236"/>
        <v>DIS600</v>
      </c>
      <c r="H750" s="1" t="str">
        <f t="shared" si="235"/>
        <v>REL37</v>
      </c>
      <c r="I750" s="1" t="str">
        <f t="shared" si="237"/>
        <v>HWFIRE11</v>
      </c>
      <c r="J750" s="1" t="str">
        <f t="shared" si="238"/>
        <v>N01D</v>
      </c>
      <c r="K750" s="1" t="str">
        <f t="shared" si="239"/>
        <v>N01C</v>
      </c>
      <c r="L750" s="1" t="str">
        <f t="shared" si="241"/>
        <v>R</v>
      </c>
      <c r="M750" s="1" t="str">
        <f t="shared" si="240"/>
        <v>T201</v>
      </c>
      <c r="N750" s="1" t="str">
        <f t="shared" si="244"/>
        <v>Y</v>
      </c>
      <c r="O750" s="1" t="str">
        <f t="shared" si="243"/>
        <v>Y</v>
      </c>
      <c r="P750" s="1" t="str">
        <f t="shared" si="242"/>
        <v>Y</v>
      </c>
      <c r="Q750" s="1" t="str">
        <f t="shared" si="246"/>
        <v>A</v>
      </c>
    </row>
    <row r="751" spans="1:17" x14ac:dyDescent="0.3">
      <c r="A751" s="1" t="str">
        <f t="shared" si="245"/>
        <v>C2</v>
      </c>
      <c r="B751" s="1" t="str">
        <f>"GNUMMG01"</f>
        <v>GNUMMG01</v>
      </c>
      <c r="C751" s="1" t="str">
        <f>"치밀유방"</f>
        <v>치밀유방</v>
      </c>
      <c r="D751" s="1" t="str">
        <f>"유방 촬영 검사에서 치밀 유방이 관찰됩니다. 유방 촬영의 예민도가 낮아 정확한 진단을 하는데 한계가 있을 수 있습니다. 유방초음파 검사를 받으시기 바랍니다."</f>
        <v>유방 촬영 검사에서 치밀 유방이 관찰됩니다. 유방 촬영의 예민도가 낮아 정확한 진단을 하는데 한계가 있을 수 있습니다. 유방초음파 검사를 받으시기 바랍니다.</v>
      </c>
      <c r="E751" s="1" t="str">
        <f t="shared" ref="E751:E814" si="247">"WOK02"</f>
        <v>WOK02</v>
      </c>
      <c r="F751" s="1" t="str">
        <f t="shared" ref="F751:F757" si="248">"PTM04"</f>
        <v>PTM04</v>
      </c>
      <c r="G751" s="1" t="str">
        <f>""</f>
        <v/>
      </c>
      <c r="H751" s="1" t="str">
        <f t="shared" ref="H751:H788" si="249">"REL11"</f>
        <v>REL11</v>
      </c>
      <c r="I751" s="1" t="str">
        <f>""</f>
        <v/>
      </c>
      <c r="J751" s="1" t="str">
        <f>""</f>
        <v/>
      </c>
      <c r="K751" s="1" t="str">
        <f>""</f>
        <v/>
      </c>
      <c r="L751" s="1" t="str">
        <f t="shared" si="241"/>
        <v>R</v>
      </c>
      <c r="M751" s="1" t="str">
        <f t="shared" ref="M751:M763" si="250">"T21"</f>
        <v>T21</v>
      </c>
      <c r="N751" s="1" t="str">
        <f t="shared" si="244"/>
        <v>Y</v>
      </c>
      <c r="O751" s="1" t="str">
        <f t="shared" si="243"/>
        <v>Y</v>
      </c>
      <c r="P751" s="1" t="str">
        <f t="shared" si="242"/>
        <v>Y</v>
      </c>
      <c r="Q751" s="1" t="str">
        <f t="shared" si="246"/>
        <v>A</v>
      </c>
    </row>
    <row r="752" spans="1:17" x14ac:dyDescent="0.3">
      <c r="A752" s="1" t="str">
        <f t="shared" si="245"/>
        <v>C2</v>
      </c>
      <c r="B752" s="1" t="str">
        <f>"GNUMMG02"</f>
        <v>GNUMMG02</v>
      </c>
      <c r="C752" s="1" t="str">
        <f>"미세석회화"</f>
        <v>미세석회화</v>
      </c>
      <c r="D752" s="1" t="str">
        <f>"유방 촬영 검사에서 미세석회화가 관찰됩니다. 정확한 진단을 위해 추가 검사가 필요합니다. 유방클리닉 진료를 받으시기 바랍니다."</f>
        <v>유방 촬영 검사에서 미세석회화가 관찰됩니다. 정확한 진단을 위해 추가 검사가 필요합니다. 유방클리닉 진료를 받으시기 바랍니다.</v>
      </c>
      <c r="E752" s="1" t="str">
        <f t="shared" si="247"/>
        <v>WOK02</v>
      </c>
      <c r="F752" s="1" t="str">
        <f t="shared" si="248"/>
        <v>PTM04</v>
      </c>
      <c r="G752" s="1" t="str">
        <f>""</f>
        <v/>
      </c>
      <c r="H752" s="1" t="str">
        <f t="shared" si="249"/>
        <v>REL11</v>
      </c>
      <c r="I752" s="1" t="str">
        <f>""</f>
        <v/>
      </c>
      <c r="J752" s="1" t="str">
        <f>""</f>
        <v/>
      </c>
      <c r="K752" s="1" t="str">
        <f>""</f>
        <v/>
      </c>
      <c r="L752" s="1" t="str">
        <f t="shared" si="241"/>
        <v>R</v>
      </c>
      <c r="M752" s="1" t="str">
        <f t="shared" si="250"/>
        <v>T21</v>
      </c>
      <c r="N752" s="1" t="str">
        <f t="shared" si="244"/>
        <v>Y</v>
      </c>
      <c r="O752" s="1" t="str">
        <f t="shared" si="243"/>
        <v>Y</v>
      </c>
      <c r="P752" s="1" t="str">
        <f t="shared" si="242"/>
        <v>Y</v>
      </c>
      <c r="Q752" s="1" t="str">
        <f t="shared" si="246"/>
        <v>A</v>
      </c>
    </row>
    <row r="753" spans="1:17" x14ac:dyDescent="0.3">
      <c r="A753" s="1" t="str">
        <f t="shared" si="245"/>
        <v>C2</v>
      </c>
      <c r="B753" s="1" t="str">
        <f>"GNUMMG03"</f>
        <v>GNUMMG03</v>
      </c>
      <c r="C753" s="1" t="str">
        <f>"양성석회화"</f>
        <v>양성석회화</v>
      </c>
      <c r="D753" s="1" t="str">
        <f>"유방 촬영 검사에서 양성석회화가 관찰됩니다. 정기적으로 검진을 받으시기 바랍니다."</f>
        <v>유방 촬영 검사에서 양성석회화가 관찰됩니다. 정기적으로 검진을 받으시기 바랍니다.</v>
      </c>
      <c r="E753" s="1" t="str">
        <f t="shared" si="247"/>
        <v>WOK02</v>
      </c>
      <c r="F753" s="1" t="str">
        <f t="shared" si="248"/>
        <v>PTM04</v>
      </c>
      <c r="G753" s="1" t="str">
        <f>""</f>
        <v/>
      </c>
      <c r="H753" s="1" t="str">
        <f t="shared" si="249"/>
        <v>REL11</v>
      </c>
      <c r="I753" s="1" t="str">
        <f>""</f>
        <v/>
      </c>
      <c r="J753" s="1" t="str">
        <f>""</f>
        <v/>
      </c>
      <c r="K753" s="1" t="str">
        <f>""</f>
        <v/>
      </c>
      <c r="L753" s="1" t="str">
        <f t="shared" si="241"/>
        <v>R</v>
      </c>
      <c r="M753" s="1" t="str">
        <f t="shared" si="250"/>
        <v>T21</v>
      </c>
      <c r="N753" s="1" t="str">
        <f t="shared" si="244"/>
        <v>Y</v>
      </c>
      <c r="O753" s="1" t="str">
        <f t="shared" si="243"/>
        <v>Y</v>
      </c>
      <c r="P753" s="1" t="str">
        <f t="shared" si="242"/>
        <v>Y</v>
      </c>
      <c r="Q753" s="1" t="str">
        <f t="shared" si="246"/>
        <v>A</v>
      </c>
    </row>
    <row r="754" spans="1:17" x14ac:dyDescent="0.3">
      <c r="A754" s="1" t="str">
        <f t="shared" si="245"/>
        <v>C2</v>
      </c>
      <c r="B754" s="1" t="str">
        <f>"GNUMMG04"</f>
        <v>GNUMMG04</v>
      </c>
      <c r="C754" s="1" t="str">
        <f>"비대칭"</f>
        <v>비대칭</v>
      </c>
      <c r="D754" s="1" t="str">
        <f>"유방 촬영 결과 비대칭 소견이 있습니다. 정확한 진단을 위해 추가 검사로 유방 초음파 검사를 받으실 것을 권유드립니다."</f>
        <v>유방 촬영 결과 비대칭 소견이 있습니다. 정확한 진단을 위해 추가 검사로 유방 초음파 검사를 받으실 것을 권유드립니다.</v>
      </c>
      <c r="E754" s="1" t="str">
        <f t="shared" si="247"/>
        <v>WOK02</v>
      </c>
      <c r="F754" s="1" t="str">
        <f t="shared" si="248"/>
        <v>PTM04</v>
      </c>
      <c r="G754" s="1" t="str">
        <f>""</f>
        <v/>
      </c>
      <c r="H754" s="1" t="str">
        <f t="shared" si="249"/>
        <v>REL11</v>
      </c>
      <c r="I754" s="1" t="str">
        <f>""</f>
        <v/>
      </c>
      <c r="J754" s="1" t="str">
        <f>""</f>
        <v/>
      </c>
      <c r="K754" s="1" t="str">
        <f>""</f>
        <v/>
      </c>
      <c r="L754" s="1" t="str">
        <f t="shared" si="241"/>
        <v>R</v>
      </c>
      <c r="M754" s="1" t="str">
        <f t="shared" si="250"/>
        <v>T21</v>
      </c>
      <c r="N754" s="1" t="str">
        <f t="shared" si="244"/>
        <v>Y</v>
      </c>
      <c r="O754" s="1" t="str">
        <f t="shared" si="243"/>
        <v>Y</v>
      </c>
      <c r="P754" s="1" t="str">
        <f t="shared" si="242"/>
        <v>Y</v>
      </c>
      <c r="Q754" s="1" t="str">
        <f t="shared" si="246"/>
        <v>A</v>
      </c>
    </row>
    <row r="755" spans="1:17" x14ac:dyDescent="0.3">
      <c r="A755" s="1" t="str">
        <f t="shared" si="245"/>
        <v>C2</v>
      </c>
      <c r="B755" s="1" t="str">
        <f>"GNUMMG05"</f>
        <v>GNUMMG05</v>
      </c>
      <c r="C755" s="1" t="str">
        <f>"비대칭(변화없음)"</f>
        <v>비대칭(변화없음)</v>
      </c>
      <c r="D755" s="1" t="str">
        <f>"유방 촬영 결과 비대칭 소견은 이전 검사와 비교시 변화 없습니다. 매년 정기검진 하십시오."</f>
        <v>유방 촬영 결과 비대칭 소견은 이전 검사와 비교시 변화 없습니다. 매년 정기검진 하십시오.</v>
      </c>
      <c r="E755" s="1" t="str">
        <f t="shared" si="247"/>
        <v>WOK02</v>
      </c>
      <c r="F755" s="1" t="str">
        <f t="shared" si="248"/>
        <v>PTM04</v>
      </c>
      <c r="G755" s="1" t="str">
        <f>""</f>
        <v/>
      </c>
      <c r="H755" s="1" t="str">
        <f t="shared" si="249"/>
        <v>REL11</v>
      </c>
      <c r="I755" s="1" t="str">
        <f>""</f>
        <v/>
      </c>
      <c r="J755" s="1" t="str">
        <f>""</f>
        <v/>
      </c>
      <c r="K755" s="1" t="str">
        <f>""</f>
        <v/>
      </c>
      <c r="L755" s="1" t="str">
        <f t="shared" si="241"/>
        <v>R</v>
      </c>
      <c r="M755" s="1" t="str">
        <f t="shared" si="250"/>
        <v>T21</v>
      </c>
      <c r="N755" s="1" t="str">
        <f t="shared" si="244"/>
        <v>Y</v>
      </c>
      <c r="O755" s="1" t="str">
        <f t="shared" si="243"/>
        <v>Y</v>
      </c>
      <c r="P755" s="1" t="str">
        <f t="shared" si="242"/>
        <v>Y</v>
      </c>
      <c r="Q755" s="1" t="str">
        <f t="shared" si="246"/>
        <v>A</v>
      </c>
    </row>
    <row r="756" spans="1:17" x14ac:dyDescent="0.3">
      <c r="A756" s="1" t="str">
        <f t="shared" si="245"/>
        <v>C2</v>
      </c>
      <c r="B756" s="1" t="str">
        <f>"GNUMMG06"</f>
        <v>GNUMMG06</v>
      </c>
      <c r="C756" s="1" t="str">
        <f>"유방 종괴"</f>
        <v>유방 종괴</v>
      </c>
      <c r="D756" s="1" t="str">
        <f>"유방 촬영 검사에서 (  )측 유방에 종괴가 관찰됩니다. 유방클리닉 진료를 받으시고 추적검사를 하시기 바랍니다."</f>
        <v>유방 촬영 검사에서 (  )측 유방에 종괴가 관찰됩니다. 유방클리닉 진료를 받으시고 추적검사를 하시기 바랍니다.</v>
      </c>
      <c r="E756" s="1" t="str">
        <f t="shared" si="247"/>
        <v>WOK02</v>
      </c>
      <c r="F756" s="1" t="str">
        <f t="shared" si="248"/>
        <v>PTM04</v>
      </c>
      <c r="G756" s="1" t="str">
        <f>""</f>
        <v/>
      </c>
      <c r="H756" s="1" t="str">
        <f t="shared" si="249"/>
        <v>REL11</v>
      </c>
      <c r="I756" s="1" t="str">
        <f>""</f>
        <v/>
      </c>
      <c r="J756" s="1" t="str">
        <f>""</f>
        <v/>
      </c>
      <c r="K756" s="1" t="str">
        <f>""</f>
        <v/>
      </c>
      <c r="L756" s="1" t="str">
        <f t="shared" si="241"/>
        <v>R</v>
      </c>
      <c r="M756" s="1" t="str">
        <f t="shared" si="250"/>
        <v>T21</v>
      </c>
      <c r="N756" s="1" t="str">
        <f t="shared" si="244"/>
        <v>Y</v>
      </c>
      <c r="O756" s="1" t="str">
        <f t="shared" si="243"/>
        <v>Y</v>
      </c>
      <c r="P756" s="1" t="str">
        <f t="shared" si="242"/>
        <v>Y</v>
      </c>
      <c r="Q756" s="1" t="str">
        <f t="shared" si="246"/>
        <v>A</v>
      </c>
    </row>
    <row r="757" spans="1:17" x14ac:dyDescent="0.3">
      <c r="A757" s="1" t="str">
        <f t="shared" si="245"/>
        <v>C2</v>
      </c>
      <c r="B757" s="1" t="str">
        <f>"GNUMMG07"</f>
        <v>GNUMMG07</v>
      </c>
      <c r="C757" s="1" t="str">
        <f>"임파선 비후"</f>
        <v>임파선 비후</v>
      </c>
      <c r="D757" s="1" t="str">
        <f>"유방 촬영 결과 임파선 비후 소견으로 추가 초음파 검사가 필요합니다. 유방클리닉 진료를 받으시기 바랍니다."</f>
        <v>유방 촬영 결과 임파선 비후 소견으로 추가 초음파 검사가 필요합니다. 유방클리닉 진료를 받으시기 바랍니다.</v>
      </c>
      <c r="E757" s="1" t="str">
        <f t="shared" si="247"/>
        <v>WOK02</v>
      </c>
      <c r="F757" s="1" t="str">
        <f t="shared" si="248"/>
        <v>PTM04</v>
      </c>
      <c r="G757" s="1" t="str">
        <f>""</f>
        <v/>
      </c>
      <c r="H757" s="1" t="str">
        <f t="shared" si="249"/>
        <v>REL11</v>
      </c>
      <c r="I757" s="1" t="str">
        <f>""</f>
        <v/>
      </c>
      <c r="J757" s="1" t="str">
        <f>""</f>
        <v/>
      </c>
      <c r="K757" s="1" t="str">
        <f>""</f>
        <v/>
      </c>
      <c r="L757" s="1" t="str">
        <f t="shared" si="241"/>
        <v>R</v>
      </c>
      <c r="M757" s="1" t="str">
        <f t="shared" si="250"/>
        <v>T21</v>
      </c>
      <c r="N757" s="1" t="str">
        <f t="shared" si="244"/>
        <v>Y</v>
      </c>
      <c r="O757" s="1" t="str">
        <f t="shared" si="243"/>
        <v>Y</v>
      </c>
      <c r="P757" s="1" t="str">
        <f t="shared" si="242"/>
        <v>Y</v>
      </c>
      <c r="Q757" s="1" t="str">
        <f t="shared" si="246"/>
        <v>A</v>
      </c>
    </row>
    <row r="758" spans="1:17" x14ac:dyDescent="0.3">
      <c r="A758" s="1" t="str">
        <f t="shared" si="245"/>
        <v>C2</v>
      </c>
      <c r="B758" s="1" t="str">
        <f>"GNUMMG08"</f>
        <v>GNUMMG08</v>
      </c>
      <c r="C758" s="1" t="str">
        <f>"구조왜곡"</f>
        <v>구조왜곡</v>
      </c>
      <c r="D758" s="1" t="str">
        <f>"유방 촬영 결과 구조왜곡 소견입니다. 추가 검사가 필요합니다. 유방클리닉 진료를 받으시기 바랍니다."</f>
        <v>유방 촬영 결과 구조왜곡 소견입니다. 추가 검사가 필요합니다. 유방클리닉 진료를 받으시기 바랍니다.</v>
      </c>
      <c r="E758" s="1" t="str">
        <f t="shared" si="247"/>
        <v>WOK02</v>
      </c>
      <c r="F758" s="1" t="str">
        <f>"PTM011"</f>
        <v>PTM011</v>
      </c>
      <c r="G758" s="1" t="str">
        <f>""</f>
        <v/>
      </c>
      <c r="H758" s="1" t="str">
        <f t="shared" si="249"/>
        <v>REL11</v>
      </c>
      <c r="I758" s="1" t="str">
        <f>""</f>
        <v/>
      </c>
      <c r="J758" s="1" t="str">
        <f>""</f>
        <v/>
      </c>
      <c r="K758" s="1" t="str">
        <f>""</f>
        <v/>
      </c>
      <c r="L758" s="1" t="str">
        <f t="shared" si="241"/>
        <v>R</v>
      </c>
      <c r="M758" s="1" t="str">
        <f t="shared" si="250"/>
        <v>T21</v>
      </c>
      <c r="N758" s="1" t="str">
        <f t="shared" si="244"/>
        <v>Y</v>
      </c>
      <c r="O758" s="1" t="str">
        <f t="shared" si="243"/>
        <v>Y</v>
      </c>
      <c r="P758" s="1" t="str">
        <f t="shared" si="242"/>
        <v>Y</v>
      </c>
      <c r="Q758" s="1" t="str">
        <f t="shared" si="246"/>
        <v>A</v>
      </c>
    </row>
    <row r="759" spans="1:17" x14ac:dyDescent="0.3">
      <c r="A759" s="1" t="str">
        <f t="shared" si="245"/>
        <v>C2</v>
      </c>
      <c r="B759" s="1" t="str">
        <f>"GNUMMG09"</f>
        <v>GNUMMG09</v>
      </c>
      <c r="C759" s="1" t="str">
        <f>"구조왜곡(변화없음)"</f>
        <v>구조왜곡(변화없음)</v>
      </c>
      <c r="D759" s="1" t="str">
        <f>"유방 촬영 결과 구조왜곡 소견은 이전 검사시와 비교시 변화 없습니다. 매년 정기검진 하십시오."</f>
        <v>유방 촬영 결과 구조왜곡 소견은 이전 검사시와 비교시 변화 없습니다. 매년 정기검진 하십시오.</v>
      </c>
      <c r="E759" s="1" t="str">
        <f t="shared" si="247"/>
        <v>WOK02</v>
      </c>
      <c r="F759" s="1" t="str">
        <f>"PTM011"</f>
        <v>PTM011</v>
      </c>
      <c r="G759" s="1" t="str">
        <f>""</f>
        <v/>
      </c>
      <c r="H759" s="1" t="str">
        <f t="shared" si="249"/>
        <v>REL11</v>
      </c>
      <c r="I759" s="1" t="str">
        <f>""</f>
        <v/>
      </c>
      <c r="J759" s="1" t="str">
        <f>""</f>
        <v/>
      </c>
      <c r="K759" s="1" t="str">
        <f>""</f>
        <v/>
      </c>
      <c r="L759" s="1" t="str">
        <f t="shared" si="241"/>
        <v>R</v>
      </c>
      <c r="M759" s="1" t="str">
        <f t="shared" si="250"/>
        <v>T21</v>
      </c>
      <c r="N759" s="1" t="str">
        <f t="shared" si="244"/>
        <v>Y</v>
      </c>
      <c r="O759" s="1" t="str">
        <f t="shared" si="243"/>
        <v>Y</v>
      </c>
      <c r="P759" s="1" t="str">
        <f t="shared" si="242"/>
        <v>Y</v>
      </c>
      <c r="Q759" s="1" t="str">
        <f t="shared" si="246"/>
        <v>A</v>
      </c>
    </row>
    <row r="760" spans="1:17" x14ac:dyDescent="0.3">
      <c r="A760" s="1" t="str">
        <f t="shared" si="245"/>
        <v>C2</v>
      </c>
      <c r="B760" s="1" t="str">
        <f>"GNUMMG10"</f>
        <v>GNUMMG10</v>
      </c>
      <c r="C760" s="1" t="str">
        <f>"유방 내 림프절"</f>
        <v>유방 내 림프절</v>
      </c>
      <c r="D760" s="1" t="str">
        <f>"유방 촬영 검사에서 유방 내 림프절 소견이 관찰됩니다. 양성 소견으로 정기검진하십시오."</f>
        <v>유방 촬영 검사에서 유방 내 림프절 소견이 관찰됩니다. 양성 소견으로 정기검진하십시오.</v>
      </c>
      <c r="E760" s="1" t="str">
        <f t="shared" si="247"/>
        <v>WOK02</v>
      </c>
      <c r="F760" s="1" t="str">
        <f>"PTM04"</f>
        <v>PTM04</v>
      </c>
      <c r="G760" s="1" t="str">
        <f>""</f>
        <v/>
      </c>
      <c r="H760" s="1" t="str">
        <f t="shared" si="249"/>
        <v>REL11</v>
      </c>
      <c r="I760" s="1" t="str">
        <f>""</f>
        <v/>
      </c>
      <c r="J760" s="1" t="str">
        <f>""</f>
        <v/>
      </c>
      <c r="K760" s="1" t="str">
        <f>""</f>
        <v/>
      </c>
      <c r="L760" s="1" t="str">
        <f t="shared" si="241"/>
        <v>R</v>
      </c>
      <c r="M760" s="1" t="str">
        <f t="shared" si="250"/>
        <v>T21</v>
      </c>
      <c r="N760" s="1" t="str">
        <f t="shared" si="244"/>
        <v>Y</v>
      </c>
      <c r="O760" s="1" t="str">
        <f t="shared" si="243"/>
        <v>Y</v>
      </c>
      <c r="P760" s="1" t="str">
        <f t="shared" si="242"/>
        <v>Y</v>
      </c>
      <c r="Q760" s="1" t="str">
        <f t="shared" si="246"/>
        <v>A</v>
      </c>
    </row>
    <row r="761" spans="1:17" x14ac:dyDescent="0.3">
      <c r="A761" s="1" t="str">
        <f t="shared" si="245"/>
        <v>C2</v>
      </c>
      <c r="B761" s="1" t="str">
        <f>"GNUMMG11"</f>
        <v>GNUMMG11</v>
      </c>
      <c r="C761" s="1" t="str">
        <f>"유방암 의심"</f>
        <v>유방암 의심</v>
      </c>
      <c r="D761" s="1" t="str">
        <f>"유방 촬영 검사에서 유방암이 의심됩니다. 조직검사가 필요합니다. 유방클리닉 진료를 받으시기 바랍니다."</f>
        <v>유방 촬영 검사에서 유방암이 의심됩니다. 조직검사가 필요합니다. 유방클리닉 진료를 받으시기 바랍니다.</v>
      </c>
      <c r="E761" s="1" t="str">
        <f t="shared" si="247"/>
        <v>WOK02</v>
      </c>
      <c r="F761" s="1" t="str">
        <f>"PTM04"</f>
        <v>PTM04</v>
      </c>
      <c r="G761" s="1" t="str">
        <f>""</f>
        <v/>
      </c>
      <c r="H761" s="1" t="str">
        <f t="shared" si="249"/>
        <v>REL11</v>
      </c>
      <c r="I761" s="1" t="str">
        <f>""</f>
        <v/>
      </c>
      <c r="J761" s="1" t="str">
        <f>""</f>
        <v/>
      </c>
      <c r="K761" s="1" t="str">
        <f>""</f>
        <v/>
      </c>
      <c r="L761" s="1" t="str">
        <f t="shared" si="241"/>
        <v>R</v>
      </c>
      <c r="M761" s="1" t="str">
        <f t="shared" si="250"/>
        <v>T21</v>
      </c>
      <c r="N761" s="1" t="str">
        <f t="shared" si="244"/>
        <v>Y</v>
      </c>
      <c r="O761" s="1" t="str">
        <f t="shared" si="243"/>
        <v>Y</v>
      </c>
      <c r="P761" s="1" t="str">
        <f t="shared" si="242"/>
        <v>Y</v>
      </c>
      <c r="Q761" s="1" t="str">
        <f t="shared" si="246"/>
        <v>A</v>
      </c>
    </row>
    <row r="762" spans="1:17" x14ac:dyDescent="0.3">
      <c r="A762" s="1" t="str">
        <f t="shared" si="245"/>
        <v>C2</v>
      </c>
      <c r="B762" s="1" t="str">
        <f>"GNUMMG12"</f>
        <v>GNUMMG12</v>
      </c>
      <c r="C762" s="1" t="str">
        <f>"유방보형물"</f>
        <v>유방보형물</v>
      </c>
      <c r="D762" s="1" t="s">
        <v>252</v>
      </c>
      <c r="E762" s="1" t="str">
        <f t="shared" si="247"/>
        <v>WOK02</v>
      </c>
      <c r="F762" s="1" t="str">
        <f>"PTM011"</f>
        <v>PTM011</v>
      </c>
      <c r="G762" s="1" t="str">
        <f>""</f>
        <v/>
      </c>
      <c r="H762" s="1" t="str">
        <f t="shared" si="249"/>
        <v>REL11</v>
      </c>
      <c r="I762" s="1" t="str">
        <f>""</f>
        <v/>
      </c>
      <c r="J762" s="1" t="str">
        <f>""</f>
        <v/>
      </c>
      <c r="K762" s="1" t="str">
        <f>""</f>
        <v/>
      </c>
      <c r="L762" s="1" t="str">
        <f t="shared" si="241"/>
        <v>R</v>
      </c>
      <c r="M762" s="1" t="str">
        <f t="shared" si="250"/>
        <v>T21</v>
      </c>
      <c r="N762" s="1" t="str">
        <f t="shared" si="244"/>
        <v>Y</v>
      </c>
      <c r="O762" s="1" t="str">
        <f t="shared" si="243"/>
        <v>Y</v>
      </c>
      <c r="P762" s="1" t="str">
        <f t="shared" si="242"/>
        <v>Y</v>
      </c>
      <c r="Q762" s="1" t="str">
        <f t="shared" si="246"/>
        <v>A</v>
      </c>
    </row>
    <row r="763" spans="1:17" x14ac:dyDescent="0.3">
      <c r="A763" s="1" t="str">
        <f t="shared" si="245"/>
        <v>C2</v>
      </c>
      <c r="B763" s="1" t="str">
        <f>"GNUMMG13"</f>
        <v>GNUMMG13</v>
      </c>
      <c r="C763" s="1" t="str">
        <f>"기타(직접기입)"</f>
        <v>기타(직접기입)</v>
      </c>
      <c r="D763" s="1" t="str">
        <f>"유방 촬영 결과"</f>
        <v>유방 촬영 결과</v>
      </c>
      <c r="E763" s="1" t="str">
        <f t="shared" si="247"/>
        <v>WOK02</v>
      </c>
      <c r="F763" s="1" t="str">
        <f>"PTM011"</f>
        <v>PTM011</v>
      </c>
      <c r="G763" s="1" t="str">
        <f>""</f>
        <v/>
      </c>
      <c r="H763" s="1" t="str">
        <f t="shared" si="249"/>
        <v>REL11</v>
      </c>
      <c r="I763" s="1" t="str">
        <f>""</f>
        <v/>
      </c>
      <c r="J763" s="1" t="str">
        <f>""</f>
        <v/>
      </c>
      <c r="K763" s="1" t="str">
        <f>""</f>
        <v/>
      </c>
      <c r="L763" s="1" t="str">
        <f t="shared" si="241"/>
        <v>R</v>
      </c>
      <c r="M763" s="1" t="str">
        <f t="shared" si="250"/>
        <v>T21</v>
      </c>
      <c r="N763" s="1" t="str">
        <f t="shared" si="244"/>
        <v>Y</v>
      </c>
      <c r="O763" s="1" t="str">
        <f t="shared" si="243"/>
        <v>Y</v>
      </c>
      <c r="P763" s="1" t="str">
        <f t="shared" si="242"/>
        <v>Y</v>
      </c>
      <c r="Q763" s="1" t="str">
        <f t="shared" si="246"/>
        <v>A</v>
      </c>
    </row>
    <row r="764" spans="1:17" x14ac:dyDescent="0.3">
      <c r="A764" s="1" t="str">
        <f t="shared" si="245"/>
        <v>C2</v>
      </c>
      <c r="B764" s="1" t="str">
        <f>"GNUPPD01"</f>
        <v>GNUPPD01</v>
      </c>
      <c r="C764" s="1" t="str">
        <f>"비정형 선상피세포"</f>
        <v>비정형 선상피세포</v>
      </c>
      <c r="D764" s="1" t="s">
        <v>253</v>
      </c>
      <c r="E764" s="1" t="str">
        <f t="shared" si="247"/>
        <v>WOK02</v>
      </c>
      <c r="F764" s="1" t="str">
        <f t="shared" ref="F764:F788" si="251">"PTM04"</f>
        <v>PTM04</v>
      </c>
      <c r="G764" s="1" t="str">
        <f>""</f>
        <v/>
      </c>
      <c r="H764" s="1" t="str">
        <f t="shared" si="249"/>
        <v>REL11</v>
      </c>
      <c r="I764" s="1" t="str">
        <f>""</f>
        <v/>
      </c>
      <c r="J764" s="1" t="str">
        <f>""</f>
        <v/>
      </c>
      <c r="K764" s="1" t="str">
        <f>""</f>
        <v/>
      </c>
      <c r="L764" s="1" t="str">
        <f t="shared" si="241"/>
        <v>R</v>
      </c>
      <c r="M764" s="1" t="str">
        <f t="shared" ref="M764:M788" si="252">"T07"</f>
        <v>T07</v>
      </c>
      <c r="N764" s="1" t="str">
        <f t="shared" si="244"/>
        <v>Y</v>
      </c>
      <c r="O764" s="1" t="str">
        <f t="shared" si="243"/>
        <v>Y</v>
      </c>
      <c r="P764" s="1" t="str">
        <f t="shared" si="242"/>
        <v>Y</v>
      </c>
      <c r="Q764" s="1" t="str">
        <f t="shared" si="246"/>
        <v>A</v>
      </c>
    </row>
    <row r="765" spans="1:17" x14ac:dyDescent="0.3">
      <c r="A765" s="1" t="str">
        <f t="shared" si="245"/>
        <v>C2</v>
      </c>
      <c r="B765" s="1" t="str">
        <f>"GNUPPD02"</f>
        <v>GNUPPD02</v>
      </c>
      <c r="C765" s="1" t="str">
        <f>"비정형 편평세포"</f>
        <v>비정형 편평세포</v>
      </c>
      <c r="D765" s="1" t="s">
        <v>254</v>
      </c>
      <c r="E765" s="1" t="str">
        <f t="shared" si="247"/>
        <v>WOK02</v>
      </c>
      <c r="F765" s="1" t="str">
        <f t="shared" si="251"/>
        <v>PTM04</v>
      </c>
      <c r="G765" s="1" t="str">
        <f>""</f>
        <v/>
      </c>
      <c r="H765" s="1" t="str">
        <f t="shared" si="249"/>
        <v>REL11</v>
      </c>
      <c r="I765" s="1" t="str">
        <f>""</f>
        <v/>
      </c>
      <c r="J765" s="1" t="str">
        <f>""</f>
        <v/>
      </c>
      <c r="K765" s="1" t="str">
        <f>""</f>
        <v/>
      </c>
      <c r="L765" s="1" t="str">
        <f t="shared" si="241"/>
        <v>R</v>
      </c>
      <c r="M765" s="1" t="str">
        <f t="shared" si="252"/>
        <v>T07</v>
      </c>
      <c r="N765" s="1" t="str">
        <f t="shared" si="244"/>
        <v>Y</v>
      </c>
      <c r="O765" s="1" t="str">
        <f t="shared" si="243"/>
        <v>Y</v>
      </c>
      <c r="P765" s="1" t="str">
        <f t="shared" si="242"/>
        <v>Y</v>
      </c>
      <c r="Q765" s="1" t="str">
        <f t="shared" si="246"/>
        <v>A</v>
      </c>
    </row>
    <row r="766" spans="1:17" x14ac:dyDescent="0.3">
      <c r="A766" s="1" t="str">
        <f t="shared" si="245"/>
        <v>C2</v>
      </c>
      <c r="B766" s="1" t="str">
        <f>"GNUPPD03"</f>
        <v>GNUPPD03</v>
      </c>
      <c r="C766" s="1" t="str">
        <f>"칸디다 질염"</f>
        <v>칸디다 질염</v>
      </c>
      <c r="D766" s="1" t="s">
        <v>255</v>
      </c>
      <c r="E766" s="1" t="str">
        <f t="shared" si="247"/>
        <v>WOK02</v>
      </c>
      <c r="F766" s="1" t="str">
        <f t="shared" si="251"/>
        <v>PTM04</v>
      </c>
      <c r="G766" s="1" t="str">
        <f>""</f>
        <v/>
      </c>
      <c r="H766" s="1" t="str">
        <f t="shared" si="249"/>
        <v>REL11</v>
      </c>
      <c r="I766" s="1" t="str">
        <f>""</f>
        <v/>
      </c>
      <c r="J766" s="1" t="str">
        <f>""</f>
        <v/>
      </c>
      <c r="K766" s="1" t="str">
        <f>""</f>
        <v/>
      </c>
      <c r="L766" s="1" t="str">
        <f t="shared" si="241"/>
        <v>R</v>
      </c>
      <c r="M766" s="1" t="str">
        <f t="shared" si="252"/>
        <v>T07</v>
      </c>
      <c r="N766" s="1" t="str">
        <f t="shared" si="244"/>
        <v>Y</v>
      </c>
      <c r="O766" s="1" t="str">
        <f t="shared" si="243"/>
        <v>Y</v>
      </c>
      <c r="P766" s="1" t="str">
        <f t="shared" si="242"/>
        <v>Y</v>
      </c>
      <c r="Q766" s="1" t="str">
        <f t="shared" si="246"/>
        <v>A</v>
      </c>
    </row>
    <row r="767" spans="1:17" x14ac:dyDescent="0.3">
      <c r="A767" s="1" t="str">
        <f t="shared" si="245"/>
        <v>C2</v>
      </c>
      <c r="B767" s="1" t="str">
        <f>"GNUPPD04"</f>
        <v>GNUPPD04</v>
      </c>
      <c r="C767" s="1" t="str">
        <f>"세균성 질염"</f>
        <v>세균성 질염</v>
      </c>
      <c r="D767" s="1" t="s">
        <v>256</v>
      </c>
      <c r="E767" s="1" t="str">
        <f t="shared" si="247"/>
        <v>WOK02</v>
      </c>
      <c r="F767" s="1" t="str">
        <f t="shared" si="251"/>
        <v>PTM04</v>
      </c>
      <c r="G767" s="1" t="str">
        <f>""</f>
        <v/>
      </c>
      <c r="H767" s="1" t="str">
        <f t="shared" si="249"/>
        <v>REL11</v>
      </c>
      <c r="I767" s="1" t="str">
        <f>""</f>
        <v/>
      </c>
      <c r="J767" s="1" t="str">
        <f>""</f>
        <v/>
      </c>
      <c r="K767" s="1" t="str">
        <f>""</f>
        <v/>
      </c>
      <c r="L767" s="1" t="str">
        <f t="shared" si="241"/>
        <v>R</v>
      </c>
      <c r="M767" s="1" t="str">
        <f t="shared" si="252"/>
        <v>T07</v>
      </c>
      <c r="N767" s="1" t="str">
        <f t="shared" si="244"/>
        <v>Y</v>
      </c>
      <c r="O767" s="1" t="str">
        <f t="shared" si="243"/>
        <v>Y</v>
      </c>
      <c r="P767" s="1" t="str">
        <f t="shared" si="242"/>
        <v>Y</v>
      </c>
      <c r="Q767" s="1" t="str">
        <f t="shared" si="246"/>
        <v>A</v>
      </c>
    </row>
    <row r="768" spans="1:17" x14ac:dyDescent="0.3">
      <c r="A768" s="1" t="str">
        <f t="shared" si="245"/>
        <v>C2</v>
      </c>
      <c r="B768" s="1" t="str">
        <f>"GNUPPD05"</f>
        <v>GNUPPD05</v>
      </c>
      <c r="C768" s="1" t="str">
        <f>"자궁내막세포 관찰"</f>
        <v>자궁내막세포 관찰</v>
      </c>
      <c r="D768" s="1" t="str">
        <f>"자궁경부-질 도말검사에서 자궁내막세포가 관찰됩니다. 생리중 검사를 시행하였을 때 또는 자궁내막에 문제가 있는 경우에도 관찰될 수 있습니다.  추가 검사를 권유합니다."</f>
        <v>자궁경부-질 도말검사에서 자궁내막세포가 관찰됩니다. 생리중 검사를 시행하였을 때 또는 자궁내막에 문제가 있는 경우에도 관찰될 수 있습니다.  추가 검사를 권유합니다.</v>
      </c>
      <c r="E768" s="1" t="str">
        <f t="shared" si="247"/>
        <v>WOK02</v>
      </c>
      <c r="F768" s="1" t="str">
        <f t="shared" si="251"/>
        <v>PTM04</v>
      </c>
      <c r="G768" s="1" t="str">
        <f>""</f>
        <v/>
      </c>
      <c r="H768" s="1" t="str">
        <f t="shared" si="249"/>
        <v>REL11</v>
      </c>
      <c r="I768" s="1" t="str">
        <f>""</f>
        <v/>
      </c>
      <c r="J768" s="1" t="str">
        <f>""</f>
        <v/>
      </c>
      <c r="K768" s="1" t="str">
        <f>""</f>
        <v/>
      </c>
      <c r="L768" s="1" t="str">
        <f t="shared" si="241"/>
        <v>R</v>
      </c>
      <c r="M768" s="1" t="str">
        <f t="shared" si="252"/>
        <v>T07</v>
      </c>
      <c r="N768" s="1" t="str">
        <f t="shared" si="244"/>
        <v>Y</v>
      </c>
      <c r="O768" s="1" t="str">
        <f t="shared" si="243"/>
        <v>Y</v>
      </c>
      <c r="P768" s="1" t="str">
        <f t="shared" si="242"/>
        <v>Y</v>
      </c>
      <c r="Q768" s="1" t="str">
        <f t="shared" si="246"/>
        <v>A</v>
      </c>
    </row>
    <row r="769" spans="1:17" x14ac:dyDescent="0.3">
      <c r="A769" s="1" t="str">
        <f t="shared" si="245"/>
        <v>C2</v>
      </c>
      <c r="B769" s="1" t="str">
        <f>"GNUPPD06"</f>
        <v>GNUPPD06</v>
      </c>
      <c r="C769" s="1" t="str">
        <f>"방선균"</f>
        <v>방선균</v>
      </c>
      <c r="D769" s="1" t="s">
        <v>257</v>
      </c>
      <c r="E769" s="1" t="str">
        <f t="shared" si="247"/>
        <v>WOK02</v>
      </c>
      <c r="F769" s="1" t="str">
        <f t="shared" si="251"/>
        <v>PTM04</v>
      </c>
      <c r="G769" s="1" t="str">
        <f>""</f>
        <v/>
      </c>
      <c r="H769" s="1" t="str">
        <f t="shared" si="249"/>
        <v>REL11</v>
      </c>
      <c r="I769" s="1" t="str">
        <f>""</f>
        <v/>
      </c>
      <c r="J769" s="1" t="str">
        <f>""</f>
        <v/>
      </c>
      <c r="K769" s="1" t="str">
        <f>""</f>
        <v/>
      </c>
      <c r="L769" s="1" t="str">
        <f t="shared" si="241"/>
        <v>R</v>
      </c>
      <c r="M769" s="1" t="str">
        <f t="shared" si="252"/>
        <v>T07</v>
      </c>
      <c r="N769" s="1" t="str">
        <f t="shared" si="244"/>
        <v>Y</v>
      </c>
      <c r="O769" s="1" t="str">
        <f t="shared" si="243"/>
        <v>Y</v>
      </c>
      <c r="P769" s="1" t="str">
        <f t="shared" si="242"/>
        <v>Y</v>
      </c>
      <c r="Q769" s="1" t="str">
        <f t="shared" si="246"/>
        <v>A</v>
      </c>
    </row>
    <row r="770" spans="1:17" x14ac:dyDescent="0.3">
      <c r="A770" s="1" t="str">
        <f t="shared" si="245"/>
        <v>C2</v>
      </c>
      <c r="B770" s="1" t="str">
        <f>"GNUPPD07"</f>
        <v>GNUPPD07</v>
      </c>
      <c r="C770" s="1" t="str">
        <f>"방선균 및 반응성 세포 변화"</f>
        <v>방선균 및 반응성 세포 변화</v>
      </c>
      <c r="D770" s="1" t="s">
        <v>258</v>
      </c>
      <c r="E770" s="1" t="str">
        <f t="shared" si="247"/>
        <v>WOK02</v>
      </c>
      <c r="F770" s="1" t="str">
        <f t="shared" si="251"/>
        <v>PTM04</v>
      </c>
      <c r="G770" s="1" t="str">
        <f>""</f>
        <v/>
      </c>
      <c r="H770" s="1" t="str">
        <f t="shared" si="249"/>
        <v>REL11</v>
      </c>
      <c r="I770" s="1" t="str">
        <f>""</f>
        <v/>
      </c>
      <c r="J770" s="1" t="str">
        <f>""</f>
        <v/>
      </c>
      <c r="K770" s="1" t="str">
        <f>""</f>
        <v/>
      </c>
      <c r="L770" s="1" t="str">
        <f t="shared" si="241"/>
        <v>R</v>
      </c>
      <c r="M770" s="1" t="str">
        <f t="shared" si="252"/>
        <v>T07</v>
      </c>
      <c r="N770" s="1" t="str">
        <f t="shared" si="244"/>
        <v>Y</v>
      </c>
      <c r="O770" s="1" t="str">
        <f t="shared" si="243"/>
        <v>Y</v>
      </c>
      <c r="P770" s="1" t="str">
        <f t="shared" si="242"/>
        <v>Y</v>
      </c>
      <c r="Q770" s="1" t="str">
        <f t="shared" si="246"/>
        <v>A</v>
      </c>
    </row>
    <row r="771" spans="1:17" x14ac:dyDescent="0.3">
      <c r="A771" s="1" t="str">
        <f t="shared" si="245"/>
        <v>C2</v>
      </c>
      <c r="B771" s="1" t="str">
        <f>"GNUPPD08"</f>
        <v>GNUPPD08</v>
      </c>
      <c r="C771" s="1" t="str">
        <f>"염증을 동반한 반응성 세포변화"</f>
        <v>염증을 동반한 반응성 세포변화</v>
      </c>
      <c r="D771" s="1" t="s">
        <v>259</v>
      </c>
      <c r="E771" s="1" t="str">
        <f t="shared" si="247"/>
        <v>WOK02</v>
      </c>
      <c r="F771" s="1" t="str">
        <f t="shared" si="251"/>
        <v>PTM04</v>
      </c>
      <c r="G771" s="1" t="str">
        <f>""</f>
        <v/>
      </c>
      <c r="H771" s="1" t="str">
        <f t="shared" si="249"/>
        <v>REL11</v>
      </c>
      <c r="I771" s="1" t="str">
        <f>""</f>
        <v/>
      </c>
      <c r="J771" s="1" t="str">
        <f>""</f>
        <v/>
      </c>
      <c r="K771" s="1" t="str">
        <f>""</f>
        <v/>
      </c>
      <c r="L771" s="1" t="str">
        <f t="shared" si="241"/>
        <v>R</v>
      </c>
      <c r="M771" s="1" t="str">
        <f t="shared" si="252"/>
        <v>T07</v>
      </c>
      <c r="N771" s="1" t="str">
        <f t="shared" si="244"/>
        <v>Y</v>
      </c>
      <c r="O771" s="1" t="str">
        <f t="shared" si="243"/>
        <v>Y</v>
      </c>
      <c r="P771" s="1" t="str">
        <f t="shared" si="242"/>
        <v>Y</v>
      </c>
      <c r="Q771" s="1" t="str">
        <f t="shared" si="246"/>
        <v>A</v>
      </c>
    </row>
    <row r="772" spans="1:17" x14ac:dyDescent="0.3">
      <c r="A772" s="1" t="str">
        <f t="shared" si="245"/>
        <v>C2</v>
      </c>
      <c r="B772" s="1" t="str">
        <f>"GNUPPD09"</f>
        <v>GNUPPD09</v>
      </c>
      <c r="C772" s="1" t="str">
        <f>"위축성 및 반응성 세포 변화"</f>
        <v>위축성 및 반응성 세포 변화</v>
      </c>
      <c r="D772" s="1" t="str">
        <f>"자궁경부-질 도말검사에서 상피내병변 또는 암 세포는 발견되지 않았으나 위축을 동반한 반응성 세포 변화가 관찰됩니다. 위축성 질염은 주로 폐경 이후 질 점막이 건조해져서 발생할 수 있으나 염증 및 반응성 세포 변화에 대한 진료를 권유합니다."</f>
        <v>자궁경부-질 도말검사에서 상피내병변 또는 암 세포는 발견되지 않았으나 위축을 동반한 반응성 세포 변화가 관찰됩니다. 위축성 질염은 주로 폐경 이후 질 점막이 건조해져서 발생할 수 있으나 염증 및 반응성 세포 변화에 대한 진료를 권유합니다.</v>
      </c>
      <c r="E772" s="1" t="str">
        <f t="shared" si="247"/>
        <v>WOK02</v>
      </c>
      <c r="F772" s="1" t="str">
        <f t="shared" si="251"/>
        <v>PTM04</v>
      </c>
      <c r="G772" s="1" t="str">
        <f>""</f>
        <v/>
      </c>
      <c r="H772" s="1" t="str">
        <f t="shared" si="249"/>
        <v>REL11</v>
      </c>
      <c r="I772" s="1" t="str">
        <f>""</f>
        <v/>
      </c>
      <c r="J772" s="1" t="str">
        <f>""</f>
        <v/>
      </c>
      <c r="K772" s="1" t="str">
        <f>""</f>
        <v/>
      </c>
      <c r="L772" s="1" t="str">
        <f t="shared" si="241"/>
        <v>R</v>
      </c>
      <c r="M772" s="1" t="str">
        <f t="shared" si="252"/>
        <v>T07</v>
      </c>
      <c r="N772" s="1" t="str">
        <f t="shared" si="244"/>
        <v>Y</v>
      </c>
      <c r="O772" s="1" t="str">
        <f t="shared" si="243"/>
        <v>Y</v>
      </c>
      <c r="P772" s="1" t="str">
        <f t="shared" si="242"/>
        <v>Y</v>
      </c>
      <c r="Q772" s="1" t="str">
        <f t="shared" si="246"/>
        <v>A</v>
      </c>
    </row>
    <row r="773" spans="1:17" x14ac:dyDescent="0.3">
      <c r="A773" s="1" t="str">
        <f t="shared" si="245"/>
        <v>C2</v>
      </c>
      <c r="B773" s="1" t="str">
        <f>"GNUPPD10"</f>
        <v>GNUPPD10</v>
      </c>
      <c r="C773" s="1" t="str">
        <f>"위축성 변화 외 특이소견 없음"</f>
        <v>위축성 변화 외 특이소견 없음</v>
      </c>
      <c r="D773" s="1" t="str">
        <f>"자궁경부-질 도말검사에서  위축성 변화가 관찰됩니다. 주로 폐경 이후 여성 호르몬의 부족으로 점액 분비가 부족해져 질 점막이 건조해지는 것입니다. 기존에 자궁경부 관련 질환이 없었으면 매년 정기적으로 검진을 받으시기 바랍니다."</f>
        <v>자궁경부-질 도말검사에서  위축성 변화가 관찰됩니다. 주로 폐경 이후 여성 호르몬의 부족으로 점액 분비가 부족해져 질 점막이 건조해지는 것입니다. 기존에 자궁경부 관련 질환이 없었으면 매년 정기적으로 검진을 받으시기 바랍니다.</v>
      </c>
      <c r="E773" s="1" t="str">
        <f t="shared" si="247"/>
        <v>WOK02</v>
      </c>
      <c r="F773" s="1" t="str">
        <f t="shared" si="251"/>
        <v>PTM04</v>
      </c>
      <c r="G773" s="1" t="str">
        <f>""</f>
        <v/>
      </c>
      <c r="H773" s="1" t="str">
        <f t="shared" si="249"/>
        <v>REL11</v>
      </c>
      <c r="I773" s="1" t="str">
        <f>""</f>
        <v/>
      </c>
      <c r="J773" s="1" t="str">
        <f>""</f>
        <v/>
      </c>
      <c r="K773" s="1" t="str">
        <f>""</f>
        <v/>
      </c>
      <c r="L773" s="1" t="str">
        <f t="shared" si="241"/>
        <v>R</v>
      </c>
      <c r="M773" s="1" t="str">
        <f t="shared" si="252"/>
        <v>T07</v>
      </c>
      <c r="N773" s="1" t="str">
        <f t="shared" si="244"/>
        <v>Y</v>
      </c>
      <c r="O773" s="1" t="str">
        <f t="shared" si="243"/>
        <v>Y</v>
      </c>
      <c r="P773" s="1" t="str">
        <f t="shared" si="242"/>
        <v>Y</v>
      </c>
      <c r="Q773" s="1" t="str">
        <f t="shared" si="246"/>
        <v>A</v>
      </c>
    </row>
    <row r="774" spans="1:17" x14ac:dyDescent="0.3">
      <c r="A774" s="1" t="str">
        <f t="shared" si="245"/>
        <v>C2</v>
      </c>
      <c r="B774" s="1" t="str">
        <f>"GNUPPD11"</f>
        <v>GNUPPD11</v>
      </c>
      <c r="C774" s="1" t="str">
        <f>"자궁경부 상피내 암종"</f>
        <v>자궁경부 상피내 암종</v>
      </c>
      <c r="D774" s="1" t="s">
        <v>260</v>
      </c>
      <c r="E774" s="1" t="str">
        <f t="shared" si="247"/>
        <v>WOK02</v>
      </c>
      <c r="F774" s="1" t="str">
        <f t="shared" si="251"/>
        <v>PTM04</v>
      </c>
      <c r="G774" s="1" t="str">
        <f>""</f>
        <v/>
      </c>
      <c r="H774" s="1" t="str">
        <f t="shared" si="249"/>
        <v>REL11</v>
      </c>
      <c r="I774" s="1" t="str">
        <f>""</f>
        <v/>
      </c>
      <c r="J774" s="1" t="str">
        <f>""</f>
        <v/>
      </c>
      <c r="K774" s="1" t="str">
        <f>""</f>
        <v/>
      </c>
      <c r="L774" s="1" t="str">
        <f t="shared" si="241"/>
        <v>R</v>
      </c>
      <c r="M774" s="1" t="str">
        <f t="shared" si="252"/>
        <v>T07</v>
      </c>
      <c r="N774" s="1" t="str">
        <f t="shared" si="244"/>
        <v>Y</v>
      </c>
      <c r="O774" s="1" t="str">
        <f t="shared" si="243"/>
        <v>Y</v>
      </c>
      <c r="P774" s="1" t="str">
        <f t="shared" si="242"/>
        <v>Y</v>
      </c>
      <c r="Q774" s="1" t="str">
        <f t="shared" si="246"/>
        <v>A</v>
      </c>
    </row>
    <row r="775" spans="1:17" x14ac:dyDescent="0.3">
      <c r="A775" s="1" t="str">
        <f t="shared" si="245"/>
        <v>C2</v>
      </c>
      <c r="B775" s="1" t="str">
        <f>"GNUPPD12"</f>
        <v>GNUPPD12</v>
      </c>
      <c r="C775" s="1" t="str">
        <f>"자궁경부(선)암 의심"</f>
        <v>자궁경부(선)암 의심</v>
      </c>
      <c r="D775" s="1" t="str">
        <f>"자궁경부-질 도말검사에서 자궁경부선암 의심됩니다.  자궁경부암에 대한 조직검사가 필요하므로 빠른 시일 내에 진료를 권유합니다."</f>
        <v>자궁경부-질 도말검사에서 자궁경부선암 의심됩니다.  자궁경부암에 대한 조직검사가 필요하므로 빠른 시일 내에 진료를 권유합니다.</v>
      </c>
      <c r="E775" s="1" t="str">
        <f t="shared" si="247"/>
        <v>WOK02</v>
      </c>
      <c r="F775" s="1" t="str">
        <f t="shared" si="251"/>
        <v>PTM04</v>
      </c>
      <c r="G775" s="1" t="str">
        <f>""</f>
        <v/>
      </c>
      <c r="H775" s="1" t="str">
        <f t="shared" si="249"/>
        <v>REL11</v>
      </c>
      <c r="I775" s="1" t="str">
        <f>""</f>
        <v/>
      </c>
      <c r="J775" s="1" t="str">
        <f>""</f>
        <v/>
      </c>
      <c r="K775" s="1" t="str">
        <f>""</f>
        <v/>
      </c>
      <c r="L775" s="1" t="str">
        <f t="shared" si="241"/>
        <v>R</v>
      </c>
      <c r="M775" s="1" t="str">
        <f t="shared" si="252"/>
        <v>T07</v>
      </c>
      <c r="N775" s="1" t="str">
        <f t="shared" si="244"/>
        <v>Y</v>
      </c>
      <c r="O775" s="1" t="str">
        <f t="shared" si="243"/>
        <v>Y</v>
      </c>
      <c r="P775" s="1" t="str">
        <f t="shared" si="242"/>
        <v>Y</v>
      </c>
      <c r="Q775" s="1" t="str">
        <f t="shared" si="246"/>
        <v>A</v>
      </c>
    </row>
    <row r="776" spans="1:17" x14ac:dyDescent="0.3">
      <c r="A776" s="1" t="str">
        <f t="shared" si="245"/>
        <v>C2</v>
      </c>
      <c r="B776" s="1" t="str">
        <f>"GNUPPD13"</f>
        <v>GNUPPD13</v>
      </c>
      <c r="C776" s="1" t="str">
        <f>"자궁경부(편평세포)암 의심"</f>
        <v>자궁경부(편평세포)암 의심</v>
      </c>
      <c r="D776" s="1" t="str">
        <f>"자궁경부-질 도말검사에서 편평세포암이 의심됩니다. 자궁경부암에 대한 조직검사가 필요하므로 빠른 시일 내에 진료를 권유합니다."</f>
        <v>자궁경부-질 도말검사에서 편평세포암이 의심됩니다. 자궁경부암에 대한 조직검사가 필요하므로 빠른 시일 내에 진료를 권유합니다.</v>
      </c>
      <c r="E776" s="1" t="str">
        <f t="shared" si="247"/>
        <v>WOK02</v>
      </c>
      <c r="F776" s="1" t="str">
        <f t="shared" si="251"/>
        <v>PTM04</v>
      </c>
      <c r="G776" s="1" t="str">
        <f>""</f>
        <v/>
      </c>
      <c r="H776" s="1" t="str">
        <f t="shared" si="249"/>
        <v>REL11</v>
      </c>
      <c r="I776" s="1" t="str">
        <f>""</f>
        <v/>
      </c>
      <c r="J776" s="1" t="str">
        <f>""</f>
        <v/>
      </c>
      <c r="K776" s="1" t="str">
        <f>""</f>
        <v/>
      </c>
      <c r="L776" s="1" t="str">
        <f t="shared" si="241"/>
        <v>R</v>
      </c>
      <c r="M776" s="1" t="str">
        <f t="shared" si="252"/>
        <v>T07</v>
      </c>
      <c r="N776" s="1" t="str">
        <f t="shared" si="244"/>
        <v>Y</v>
      </c>
      <c r="O776" s="1" t="str">
        <f t="shared" si="243"/>
        <v>Y</v>
      </c>
      <c r="P776" s="1" t="str">
        <f t="shared" si="242"/>
        <v>Y</v>
      </c>
      <c r="Q776" s="1" t="str">
        <f t="shared" si="246"/>
        <v>A</v>
      </c>
    </row>
    <row r="777" spans="1:17" x14ac:dyDescent="0.3">
      <c r="A777" s="1" t="str">
        <f t="shared" si="245"/>
        <v>C2</v>
      </c>
      <c r="B777" s="1" t="str">
        <f>"GNUPPD14"</f>
        <v>GNUPPD14</v>
      </c>
      <c r="C777" s="1" t="str">
        <f>"저등급 편평 상피내 병변"</f>
        <v>저등급 편평 상피내 병변</v>
      </c>
      <c r="D777" s="1" t="s">
        <v>261</v>
      </c>
      <c r="E777" s="1" t="str">
        <f t="shared" si="247"/>
        <v>WOK02</v>
      </c>
      <c r="F777" s="1" t="str">
        <f t="shared" si="251"/>
        <v>PTM04</v>
      </c>
      <c r="G777" s="1" t="str">
        <f>""</f>
        <v/>
      </c>
      <c r="H777" s="1" t="str">
        <f t="shared" si="249"/>
        <v>REL11</v>
      </c>
      <c r="I777" s="1" t="str">
        <f>""</f>
        <v/>
      </c>
      <c r="J777" s="1" t="str">
        <f>""</f>
        <v/>
      </c>
      <c r="K777" s="1" t="str">
        <f>""</f>
        <v/>
      </c>
      <c r="L777" s="1" t="str">
        <f t="shared" ref="L777:L840" si="253">"R"</f>
        <v>R</v>
      </c>
      <c r="M777" s="1" t="str">
        <f t="shared" si="252"/>
        <v>T07</v>
      </c>
      <c r="N777" s="1" t="str">
        <f t="shared" si="244"/>
        <v>Y</v>
      </c>
      <c r="O777" s="1" t="str">
        <f t="shared" si="243"/>
        <v>Y</v>
      </c>
      <c r="P777" s="1" t="str">
        <f t="shared" si="242"/>
        <v>Y</v>
      </c>
      <c r="Q777" s="1" t="str">
        <f t="shared" si="246"/>
        <v>A</v>
      </c>
    </row>
    <row r="778" spans="1:17" x14ac:dyDescent="0.3">
      <c r="A778" s="1" t="str">
        <f t="shared" si="245"/>
        <v>C2</v>
      </c>
      <c r="B778" s="1" t="str">
        <f>"GNUPPD15"</f>
        <v>GNUPPD15</v>
      </c>
      <c r="C778" s="1" t="str">
        <f>"저등급 편평 상피내 병변 및 HPV 감염"</f>
        <v>저등급 편평 상피내 병변 및 HPV 감염</v>
      </c>
      <c r="D778" s="1" t="s">
        <v>262</v>
      </c>
      <c r="E778" s="1" t="str">
        <f t="shared" si="247"/>
        <v>WOK02</v>
      </c>
      <c r="F778" s="1" t="str">
        <f t="shared" si="251"/>
        <v>PTM04</v>
      </c>
      <c r="G778" s="1" t="str">
        <f>""</f>
        <v/>
      </c>
      <c r="H778" s="1" t="str">
        <f t="shared" si="249"/>
        <v>REL11</v>
      </c>
      <c r="I778" s="1" t="str">
        <f>""</f>
        <v/>
      </c>
      <c r="J778" s="1" t="str">
        <f>""</f>
        <v/>
      </c>
      <c r="K778" s="1" t="str">
        <f>""</f>
        <v/>
      </c>
      <c r="L778" s="1" t="str">
        <f t="shared" si="253"/>
        <v>R</v>
      </c>
      <c r="M778" s="1" t="str">
        <f t="shared" si="252"/>
        <v>T07</v>
      </c>
      <c r="N778" s="1" t="str">
        <f t="shared" si="244"/>
        <v>Y</v>
      </c>
      <c r="O778" s="1" t="str">
        <f t="shared" si="243"/>
        <v>Y</v>
      </c>
      <c r="P778" s="1" t="str">
        <f t="shared" ref="P778:P841" si="254">"Y"</f>
        <v>Y</v>
      </c>
      <c r="Q778" s="1" t="str">
        <f t="shared" si="246"/>
        <v>A</v>
      </c>
    </row>
    <row r="779" spans="1:17" x14ac:dyDescent="0.3">
      <c r="A779" s="1" t="str">
        <f t="shared" si="245"/>
        <v>C2</v>
      </c>
      <c r="B779" s="1" t="str">
        <f>"GNUPPD16"</f>
        <v>GNUPPD16</v>
      </c>
      <c r="C779" s="1" t="str">
        <f>"고등급 편평 상피내 병변"</f>
        <v>고등급 편평 상피내 병변</v>
      </c>
      <c r="D779" s="1" t="s">
        <v>263</v>
      </c>
      <c r="E779" s="1" t="str">
        <f t="shared" si="247"/>
        <v>WOK02</v>
      </c>
      <c r="F779" s="1" t="str">
        <f t="shared" si="251"/>
        <v>PTM04</v>
      </c>
      <c r="G779" s="1" t="str">
        <f>""</f>
        <v/>
      </c>
      <c r="H779" s="1" t="str">
        <f t="shared" si="249"/>
        <v>REL11</v>
      </c>
      <c r="I779" s="1" t="str">
        <f>""</f>
        <v/>
      </c>
      <c r="J779" s="1" t="str">
        <f>""</f>
        <v/>
      </c>
      <c r="K779" s="1" t="str">
        <f>""</f>
        <v/>
      </c>
      <c r="L779" s="1" t="str">
        <f t="shared" si="253"/>
        <v>R</v>
      </c>
      <c r="M779" s="1" t="str">
        <f t="shared" si="252"/>
        <v>T07</v>
      </c>
      <c r="N779" s="1" t="str">
        <f t="shared" si="244"/>
        <v>Y</v>
      </c>
      <c r="O779" s="1" t="str">
        <f t="shared" si="243"/>
        <v>Y</v>
      </c>
      <c r="P779" s="1" t="str">
        <f t="shared" si="254"/>
        <v>Y</v>
      </c>
      <c r="Q779" s="1" t="str">
        <f t="shared" si="246"/>
        <v>A</v>
      </c>
    </row>
    <row r="780" spans="1:17" x14ac:dyDescent="0.3">
      <c r="A780" s="1" t="str">
        <f t="shared" si="245"/>
        <v>C2</v>
      </c>
      <c r="B780" s="1" t="str">
        <f>"GNUPPD17"</f>
        <v>GNUPPD17</v>
      </c>
      <c r="C780" s="1" t="str">
        <f>"고등급 편평 상피내 병변 및 HPV 감염"</f>
        <v>고등급 편평 상피내 병변 및 HPV 감염</v>
      </c>
      <c r="D780" s="1" t="s">
        <v>264</v>
      </c>
      <c r="E780" s="1" t="str">
        <f t="shared" si="247"/>
        <v>WOK02</v>
      </c>
      <c r="F780" s="1" t="str">
        <f t="shared" si="251"/>
        <v>PTM04</v>
      </c>
      <c r="G780" s="1" t="str">
        <f>""</f>
        <v/>
      </c>
      <c r="H780" s="1" t="str">
        <f t="shared" si="249"/>
        <v>REL11</v>
      </c>
      <c r="I780" s="1" t="str">
        <f>""</f>
        <v/>
      </c>
      <c r="J780" s="1" t="str">
        <f>""</f>
        <v/>
      </c>
      <c r="K780" s="1" t="str">
        <f>""</f>
        <v/>
      </c>
      <c r="L780" s="1" t="str">
        <f t="shared" si="253"/>
        <v>R</v>
      </c>
      <c r="M780" s="1" t="str">
        <f t="shared" si="252"/>
        <v>T07</v>
      </c>
      <c r="N780" s="1" t="str">
        <f t="shared" si="244"/>
        <v>Y</v>
      </c>
      <c r="O780" s="1" t="str">
        <f t="shared" si="243"/>
        <v>Y</v>
      </c>
      <c r="P780" s="1" t="str">
        <f t="shared" si="254"/>
        <v>Y</v>
      </c>
      <c r="Q780" s="1" t="str">
        <f t="shared" si="246"/>
        <v>A</v>
      </c>
    </row>
    <row r="781" spans="1:17" x14ac:dyDescent="0.3">
      <c r="A781" s="1" t="str">
        <f t="shared" si="245"/>
        <v>C2</v>
      </c>
      <c r="B781" s="1" t="str">
        <f>"GNUPPD18"</f>
        <v>GNUPPD18</v>
      </c>
      <c r="C781" s="1" t="str">
        <f>"고등급 편평 상피내 병변 및 상피내 암종 의심"</f>
        <v>고등급 편평 상피내 병변 및 상피내 암종 의심</v>
      </c>
      <c r="D781" s="1" t="s">
        <v>265</v>
      </c>
      <c r="E781" s="1" t="str">
        <f t="shared" si="247"/>
        <v>WOK02</v>
      </c>
      <c r="F781" s="1" t="str">
        <f t="shared" si="251"/>
        <v>PTM04</v>
      </c>
      <c r="G781" s="1" t="str">
        <f>""</f>
        <v/>
      </c>
      <c r="H781" s="1" t="str">
        <f t="shared" si="249"/>
        <v>REL11</v>
      </c>
      <c r="I781" s="1" t="str">
        <f>""</f>
        <v/>
      </c>
      <c r="J781" s="1" t="str">
        <f>""</f>
        <v/>
      </c>
      <c r="K781" s="1" t="str">
        <f>""</f>
        <v/>
      </c>
      <c r="L781" s="1" t="str">
        <f t="shared" si="253"/>
        <v>R</v>
      </c>
      <c r="M781" s="1" t="str">
        <f t="shared" si="252"/>
        <v>T07</v>
      </c>
      <c r="N781" s="1" t="str">
        <f t="shared" si="244"/>
        <v>Y</v>
      </c>
      <c r="O781" s="1" t="str">
        <f t="shared" si="243"/>
        <v>Y</v>
      </c>
      <c r="P781" s="1" t="str">
        <f t="shared" si="254"/>
        <v>Y</v>
      </c>
      <c r="Q781" s="1" t="str">
        <f t="shared" si="246"/>
        <v>A</v>
      </c>
    </row>
    <row r="782" spans="1:17" x14ac:dyDescent="0.3">
      <c r="A782" s="1" t="str">
        <f t="shared" si="245"/>
        <v>C2</v>
      </c>
      <c r="B782" s="1" t="str">
        <f>"GNUPPD19"</f>
        <v>GNUPPD19</v>
      </c>
      <c r="C782" s="1" t="str">
        <f>"고등급 편평상피내병변을 배제할 수 없는 저등급 편평상피내병변"</f>
        <v>고등급 편평상피내병변을 배제할 수 없는 저등급 편평상피내병변</v>
      </c>
      <c r="D782" s="1" t="s">
        <v>266</v>
      </c>
      <c r="E782" s="1" t="str">
        <f t="shared" si="247"/>
        <v>WOK02</v>
      </c>
      <c r="F782" s="1" t="str">
        <f t="shared" si="251"/>
        <v>PTM04</v>
      </c>
      <c r="G782" s="1" t="str">
        <f>""</f>
        <v/>
      </c>
      <c r="H782" s="1" t="str">
        <f t="shared" si="249"/>
        <v>REL11</v>
      </c>
      <c r="I782" s="1" t="str">
        <f>""</f>
        <v/>
      </c>
      <c r="J782" s="1" t="str">
        <f>""</f>
        <v/>
      </c>
      <c r="K782" s="1" t="str">
        <f>""</f>
        <v/>
      </c>
      <c r="L782" s="1" t="str">
        <f t="shared" si="253"/>
        <v>R</v>
      </c>
      <c r="M782" s="1" t="str">
        <f t="shared" si="252"/>
        <v>T07</v>
      </c>
      <c r="N782" s="1" t="str">
        <f t="shared" si="244"/>
        <v>Y</v>
      </c>
      <c r="O782" s="1" t="str">
        <f t="shared" si="243"/>
        <v>Y</v>
      </c>
      <c r="P782" s="1" t="str">
        <f t="shared" si="254"/>
        <v>Y</v>
      </c>
      <c r="Q782" s="1" t="str">
        <f t="shared" si="246"/>
        <v>A</v>
      </c>
    </row>
    <row r="783" spans="1:17" x14ac:dyDescent="0.3">
      <c r="A783" s="1" t="str">
        <f t="shared" si="245"/>
        <v>C2</v>
      </c>
      <c r="B783" s="1" t="str">
        <f>"GNUPPD20"</f>
        <v>GNUPPD20</v>
      </c>
      <c r="C783" s="1" t="str">
        <f>"트리코모나스 질염"</f>
        <v>트리코모나스 질염</v>
      </c>
      <c r="D783" s="1" t="s">
        <v>267</v>
      </c>
      <c r="E783" s="1" t="str">
        <f t="shared" si="247"/>
        <v>WOK02</v>
      </c>
      <c r="F783" s="1" t="str">
        <f t="shared" si="251"/>
        <v>PTM04</v>
      </c>
      <c r="G783" s="1" t="str">
        <f>""</f>
        <v/>
      </c>
      <c r="H783" s="1" t="str">
        <f t="shared" si="249"/>
        <v>REL11</v>
      </c>
      <c r="I783" s="1" t="str">
        <f>""</f>
        <v/>
      </c>
      <c r="J783" s="1" t="str">
        <f>""</f>
        <v/>
      </c>
      <c r="K783" s="1" t="str">
        <f>""</f>
        <v/>
      </c>
      <c r="L783" s="1" t="str">
        <f t="shared" si="253"/>
        <v>R</v>
      </c>
      <c r="M783" s="1" t="str">
        <f t="shared" si="252"/>
        <v>T07</v>
      </c>
      <c r="N783" s="1" t="str">
        <f t="shared" si="244"/>
        <v>Y</v>
      </c>
      <c r="O783" s="1" t="str">
        <f t="shared" si="243"/>
        <v>Y</v>
      </c>
      <c r="P783" s="1" t="str">
        <f t="shared" si="254"/>
        <v>Y</v>
      </c>
      <c r="Q783" s="1" t="str">
        <f t="shared" si="246"/>
        <v>A</v>
      </c>
    </row>
    <row r="784" spans="1:17" x14ac:dyDescent="0.3">
      <c r="A784" s="1" t="str">
        <f t="shared" si="245"/>
        <v>C2</v>
      </c>
      <c r="B784" s="1" t="str">
        <f>"GNUPPD21"</f>
        <v>GNUPPD21</v>
      </c>
      <c r="C784" s="1" t="str">
        <f>"트리코모나스 질염 및 반응성 세포 변화"</f>
        <v>트리코모나스 질염 및 반응성 세포 변화</v>
      </c>
      <c r="D784" s="1" t="s">
        <v>268</v>
      </c>
      <c r="E784" s="1" t="str">
        <f t="shared" si="247"/>
        <v>WOK02</v>
      </c>
      <c r="F784" s="1" t="str">
        <f t="shared" si="251"/>
        <v>PTM04</v>
      </c>
      <c r="G784" s="1" t="str">
        <f>""</f>
        <v/>
      </c>
      <c r="H784" s="1" t="str">
        <f t="shared" si="249"/>
        <v>REL11</v>
      </c>
      <c r="I784" s="1" t="str">
        <f>""</f>
        <v/>
      </c>
      <c r="J784" s="1" t="str">
        <f>""</f>
        <v/>
      </c>
      <c r="K784" s="1" t="str">
        <f>""</f>
        <v/>
      </c>
      <c r="L784" s="1" t="str">
        <f t="shared" si="253"/>
        <v>R</v>
      </c>
      <c r="M784" s="1" t="str">
        <f t="shared" si="252"/>
        <v>T07</v>
      </c>
      <c r="N784" s="1" t="str">
        <f t="shared" si="244"/>
        <v>Y</v>
      </c>
      <c r="O784" s="1" t="str">
        <f t="shared" si="243"/>
        <v>Y</v>
      </c>
      <c r="P784" s="1" t="str">
        <f t="shared" si="254"/>
        <v>Y</v>
      </c>
      <c r="Q784" s="1" t="str">
        <f t="shared" si="246"/>
        <v>A</v>
      </c>
    </row>
    <row r="785" spans="1:17" x14ac:dyDescent="0.3">
      <c r="A785" s="1" t="str">
        <f t="shared" si="245"/>
        <v>C2</v>
      </c>
      <c r="B785" s="1" t="str">
        <f>"GNUPPD22"</f>
        <v>GNUPPD22</v>
      </c>
      <c r="C785" s="1" t="str">
        <f>"평가 불가 - 세포 수 부족"</f>
        <v>평가 불가 - 세포 수 부족</v>
      </c>
      <c r="D785" s="1" t="str">
        <f>"자궁경부-질 도말검사에서 불충분한 세포로 판독이 어렵습니다. 재검을 권유합니다."</f>
        <v>자궁경부-질 도말검사에서 불충분한 세포로 판독이 어렵습니다. 재검을 권유합니다.</v>
      </c>
      <c r="E785" s="1" t="str">
        <f t="shared" si="247"/>
        <v>WOK02</v>
      </c>
      <c r="F785" s="1" t="str">
        <f t="shared" si="251"/>
        <v>PTM04</v>
      </c>
      <c r="G785" s="1" t="str">
        <f>""</f>
        <v/>
      </c>
      <c r="H785" s="1" t="str">
        <f t="shared" si="249"/>
        <v>REL11</v>
      </c>
      <c r="I785" s="1" t="str">
        <f>""</f>
        <v/>
      </c>
      <c r="J785" s="1" t="str">
        <f>""</f>
        <v/>
      </c>
      <c r="K785" s="1" t="str">
        <f>""</f>
        <v/>
      </c>
      <c r="L785" s="1" t="str">
        <f t="shared" si="253"/>
        <v>R</v>
      </c>
      <c r="M785" s="1" t="str">
        <f t="shared" si="252"/>
        <v>T07</v>
      </c>
      <c r="N785" s="1" t="str">
        <f t="shared" si="244"/>
        <v>Y</v>
      </c>
      <c r="O785" s="1" t="str">
        <f t="shared" si="243"/>
        <v>Y</v>
      </c>
      <c r="P785" s="1" t="str">
        <f t="shared" si="254"/>
        <v>Y</v>
      </c>
      <c r="Q785" s="1" t="str">
        <f t="shared" si="246"/>
        <v>A</v>
      </c>
    </row>
    <row r="786" spans="1:17" x14ac:dyDescent="0.3">
      <c r="A786" s="1" t="str">
        <f t="shared" si="245"/>
        <v>C2</v>
      </c>
      <c r="B786" s="1" t="str">
        <f>"GNUPPD23"</f>
        <v>GNUPPD23</v>
      </c>
      <c r="C786" s="1" t="str">
        <f>"평가 불가 - 소량의 양성 편평세포"</f>
        <v>평가 불가 - 소량의 양성 편평세포</v>
      </c>
      <c r="D786" s="1" t="s">
        <v>269</v>
      </c>
      <c r="E786" s="1" t="str">
        <f t="shared" si="247"/>
        <v>WOK02</v>
      </c>
      <c r="F786" s="1" t="str">
        <f t="shared" si="251"/>
        <v>PTM04</v>
      </c>
      <c r="G786" s="1" t="str">
        <f>""</f>
        <v/>
      </c>
      <c r="H786" s="1" t="str">
        <f t="shared" si="249"/>
        <v>REL11</v>
      </c>
      <c r="I786" s="1" t="str">
        <f>""</f>
        <v/>
      </c>
      <c r="J786" s="1" t="str">
        <f>""</f>
        <v/>
      </c>
      <c r="K786" s="1" t="str">
        <f>""</f>
        <v/>
      </c>
      <c r="L786" s="1" t="str">
        <f t="shared" si="253"/>
        <v>R</v>
      </c>
      <c r="M786" s="1" t="str">
        <f t="shared" si="252"/>
        <v>T07</v>
      </c>
      <c r="N786" s="1" t="str">
        <f t="shared" si="244"/>
        <v>Y</v>
      </c>
      <c r="O786" s="1" t="str">
        <f t="shared" si="243"/>
        <v>Y</v>
      </c>
      <c r="P786" s="1" t="str">
        <f t="shared" si="254"/>
        <v>Y</v>
      </c>
      <c r="Q786" s="1" t="str">
        <f t="shared" si="246"/>
        <v>A</v>
      </c>
    </row>
    <row r="787" spans="1:17" x14ac:dyDescent="0.3">
      <c r="A787" s="1" t="str">
        <f t="shared" si="245"/>
        <v>C2</v>
      </c>
      <c r="B787" s="1" t="str">
        <f>"GNUPPD24"</f>
        <v>GNUPPD24</v>
      </c>
      <c r="C787" s="1" t="str">
        <f>"헤르페스 바이러스"</f>
        <v>헤르페스 바이러스</v>
      </c>
      <c r="D787" s="1" t="s">
        <v>270</v>
      </c>
      <c r="E787" s="1" t="str">
        <f t="shared" si="247"/>
        <v>WOK02</v>
      </c>
      <c r="F787" s="1" t="str">
        <f t="shared" si="251"/>
        <v>PTM04</v>
      </c>
      <c r="G787" s="1" t="str">
        <f>""</f>
        <v/>
      </c>
      <c r="H787" s="1" t="str">
        <f t="shared" si="249"/>
        <v>REL11</v>
      </c>
      <c r="I787" s="1" t="str">
        <f>""</f>
        <v/>
      </c>
      <c r="J787" s="1" t="str">
        <f>""</f>
        <v/>
      </c>
      <c r="K787" s="1" t="str">
        <f>""</f>
        <v/>
      </c>
      <c r="L787" s="1" t="str">
        <f t="shared" si="253"/>
        <v>R</v>
      </c>
      <c r="M787" s="1" t="str">
        <f t="shared" si="252"/>
        <v>T07</v>
      </c>
      <c r="N787" s="1" t="str">
        <f t="shared" si="244"/>
        <v>Y</v>
      </c>
      <c r="O787" s="1" t="str">
        <f t="shared" si="243"/>
        <v>Y</v>
      </c>
      <c r="P787" s="1" t="str">
        <f t="shared" si="254"/>
        <v>Y</v>
      </c>
      <c r="Q787" s="1" t="str">
        <f t="shared" si="246"/>
        <v>A</v>
      </c>
    </row>
    <row r="788" spans="1:17" x14ac:dyDescent="0.3">
      <c r="A788" s="1" t="str">
        <f t="shared" si="245"/>
        <v>C2</v>
      </c>
      <c r="B788" s="1" t="str">
        <f>"GNUPPD25"</f>
        <v>GNUPPD25</v>
      </c>
      <c r="C788" s="1" t="str">
        <f>"헤르페스 바이러스 및 반응성 세포 변화"</f>
        <v>헤르페스 바이러스 및 반응성 세포 변화</v>
      </c>
      <c r="D788" s="1" t="s">
        <v>271</v>
      </c>
      <c r="E788" s="1" t="str">
        <f t="shared" si="247"/>
        <v>WOK02</v>
      </c>
      <c r="F788" s="1" t="str">
        <f t="shared" si="251"/>
        <v>PTM04</v>
      </c>
      <c r="G788" s="1" t="str">
        <f>""</f>
        <v/>
      </c>
      <c r="H788" s="1" t="str">
        <f t="shared" si="249"/>
        <v>REL11</v>
      </c>
      <c r="I788" s="1" t="str">
        <f>""</f>
        <v/>
      </c>
      <c r="J788" s="1" t="str">
        <f>""</f>
        <v/>
      </c>
      <c r="K788" s="1" t="str">
        <f>""</f>
        <v/>
      </c>
      <c r="L788" s="1" t="str">
        <f t="shared" si="253"/>
        <v>R</v>
      </c>
      <c r="M788" s="1" t="str">
        <f t="shared" si="252"/>
        <v>T07</v>
      </c>
      <c r="N788" s="1" t="str">
        <f t="shared" si="244"/>
        <v>Y</v>
      </c>
      <c r="O788" s="1" t="str">
        <f t="shared" si="243"/>
        <v>Y</v>
      </c>
      <c r="P788" s="1" t="str">
        <f t="shared" si="254"/>
        <v>Y</v>
      </c>
      <c r="Q788" s="1" t="str">
        <f t="shared" si="246"/>
        <v>A</v>
      </c>
    </row>
    <row r="789" spans="1:17" x14ac:dyDescent="0.3">
      <c r="A789" s="1" t="str">
        <f t="shared" si="245"/>
        <v>C2</v>
      </c>
      <c r="B789" s="1" t="str">
        <f>"GNURAB01"</f>
        <v>GNURAB01</v>
      </c>
      <c r="C789" s="1" t="str">
        <f>"간낭종"</f>
        <v>간낭종</v>
      </c>
      <c r="D789" s="1" t="str">
        <f>"간 초음파에서 간낭종(   cm)이 관찰됩니다. 일반적으로 단순 낭종은 문제가 되지 않으나 변화 양상을 파악하기 위하여 정기 검진 때 추적관찰하시기 바랍니다."</f>
        <v>간 초음파에서 간낭종(   cm)이 관찰됩니다. 일반적으로 단순 낭종은 문제가 되지 않으나 변화 양상을 파악하기 위하여 정기 검진 때 추적관찰하시기 바랍니다.</v>
      </c>
      <c r="E789" s="1" t="str">
        <f t="shared" si="247"/>
        <v>WOK02</v>
      </c>
      <c r="F789" s="1" t="str">
        <f>"PTM011"</f>
        <v>PTM011</v>
      </c>
      <c r="G789" s="1" t="str">
        <f>""</f>
        <v/>
      </c>
      <c r="H789" s="1" t="str">
        <f t="shared" ref="H789:H815" si="255">"REL05"</f>
        <v>REL05</v>
      </c>
      <c r="I789" s="1" t="str">
        <f>""</f>
        <v/>
      </c>
      <c r="J789" s="1" t="str">
        <f>""</f>
        <v/>
      </c>
      <c r="K789" s="1" t="str">
        <f>""</f>
        <v/>
      </c>
      <c r="L789" s="1" t="str">
        <f t="shared" si="253"/>
        <v>R</v>
      </c>
      <c r="M789" s="1" t="str">
        <f t="shared" ref="M789:M815" si="256">"T02"</f>
        <v>T02</v>
      </c>
      <c r="N789" s="1" t="str">
        <f t="shared" si="244"/>
        <v>Y</v>
      </c>
      <c r="O789" s="1" t="str">
        <f t="shared" si="243"/>
        <v>Y</v>
      </c>
      <c r="P789" s="1" t="str">
        <f t="shared" si="254"/>
        <v>Y</v>
      </c>
      <c r="Q789" s="1" t="str">
        <f t="shared" si="246"/>
        <v>A</v>
      </c>
    </row>
    <row r="790" spans="1:17" x14ac:dyDescent="0.3">
      <c r="A790" s="1" t="str">
        <f t="shared" si="245"/>
        <v>C2</v>
      </c>
      <c r="B790" s="1" t="str">
        <f>"GNURAB02"</f>
        <v>GNURAB02</v>
      </c>
      <c r="C790" s="1" t="str">
        <f>"간낭종(변화없음)"</f>
        <v>간낭종(변화없음)</v>
      </c>
      <c r="D790" s="1" t="str">
        <f>"간 초음파에서 간낭종(   cm)은 지난 검사와 비교하여 변화없이 관찰됩니다. 일반적으로 단순 낭종은 문제가 되지 않으나 변화양상을 파악하기 위하여 주기적인 검사를 받으시기 바랍니다."</f>
        <v>간 초음파에서 간낭종(   cm)은 지난 검사와 비교하여 변화없이 관찰됩니다. 일반적으로 단순 낭종은 문제가 되지 않으나 변화양상을 파악하기 위하여 주기적인 검사를 받으시기 바랍니다.</v>
      </c>
      <c r="E790" s="1" t="str">
        <f t="shared" si="247"/>
        <v>WOK02</v>
      </c>
      <c r="F790" s="1" t="str">
        <f>"PTM011"</f>
        <v>PTM011</v>
      </c>
      <c r="G790" s="1" t="str">
        <f>""</f>
        <v/>
      </c>
      <c r="H790" s="1" t="str">
        <f t="shared" si="255"/>
        <v>REL05</v>
      </c>
      <c r="I790" s="1" t="str">
        <f>""</f>
        <v/>
      </c>
      <c r="J790" s="1" t="str">
        <f>""</f>
        <v/>
      </c>
      <c r="K790" s="1" t="str">
        <f>""</f>
        <v/>
      </c>
      <c r="L790" s="1" t="str">
        <f t="shared" si="253"/>
        <v>R</v>
      </c>
      <c r="M790" s="1" t="str">
        <f t="shared" si="256"/>
        <v>T02</v>
      </c>
      <c r="N790" s="1" t="str">
        <f t="shared" si="244"/>
        <v>Y</v>
      </c>
      <c r="O790" s="1" t="str">
        <f t="shared" si="243"/>
        <v>Y</v>
      </c>
      <c r="P790" s="1" t="str">
        <f t="shared" si="254"/>
        <v>Y</v>
      </c>
      <c r="Q790" s="1" t="str">
        <f t="shared" si="246"/>
        <v>A</v>
      </c>
    </row>
    <row r="791" spans="1:17" x14ac:dyDescent="0.3">
      <c r="A791" s="1" t="str">
        <f t="shared" si="245"/>
        <v>C2</v>
      </c>
      <c r="B791" s="1" t="str">
        <f>"GNURAB03"</f>
        <v>GNURAB03</v>
      </c>
      <c r="C791" s="1" t="str">
        <f>"간 낭종(크기감소)"</f>
        <v>간 낭종(크기감소)</v>
      </c>
      <c r="D791" s="1" t="str">
        <f>"간 초음파에서 간 낭종은 이전보다 크기가 감소한 소견입니다. 일반적으로 단순 낭종은 문제가 되지 않으나 변화양상을 파악하기 위하여 주기적인 검사를 받으시기 바랍니다."</f>
        <v>간 초음파에서 간 낭종은 이전보다 크기가 감소한 소견입니다. 일반적으로 단순 낭종은 문제가 되지 않으나 변화양상을 파악하기 위하여 주기적인 검사를 받으시기 바랍니다.</v>
      </c>
      <c r="E791" s="1" t="str">
        <f t="shared" si="247"/>
        <v>WOK02</v>
      </c>
      <c r="F791" s="1" t="str">
        <f>"PTM011"</f>
        <v>PTM011</v>
      </c>
      <c r="G791" s="1" t="str">
        <f>""</f>
        <v/>
      </c>
      <c r="H791" s="1" t="str">
        <f t="shared" si="255"/>
        <v>REL05</v>
      </c>
      <c r="I791" s="1" t="str">
        <f>""</f>
        <v/>
      </c>
      <c r="J791" s="1" t="str">
        <f>""</f>
        <v/>
      </c>
      <c r="K791" s="1" t="str">
        <f>""</f>
        <v/>
      </c>
      <c r="L791" s="1" t="str">
        <f t="shared" si="253"/>
        <v>R</v>
      </c>
      <c r="M791" s="1" t="str">
        <f t="shared" si="256"/>
        <v>T02</v>
      </c>
      <c r="N791" s="1" t="str">
        <f t="shared" si="244"/>
        <v>Y</v>
      </c>
      <c r="O791" s="1" t="str">
        <f t="shared" si="243"/>
        <v>Y</v>
      </c>
      <c r="P791" s="1" t="str">
        <f t="shared" si="254"/>
        <v>Y</v>
      </c>
      <c r="Q791" s="1" t="str">
        <f t="shared" si="246"/>
        <v>A</v>
      </c>
    </row>
    <row r="792" spans="1:17" x14ac:dyDescent="0.3">
      <c r="A792" s="1" t="str">
        <f t="shared" si="245"/>
        <v>C2</v>
      </c>
      <c r="B792" s="1" t="str">
        <f>"GNURAB04"</f>
        <v>GNURAB04</v>
      </c>
      <c r="C792" s="1" t="str">
        <f>"간 낭종(크기증가)"</f>
        <v>간 낭종(크기증가)</v>
      </c>
      <c r="D792" s="1" t="str">
        <f>"간 초음파에서 간 낭종은 이전보다 크기가 증가한 소견입니다. 추적검사가 필요할 수 있으니 진료를 받으시기 바랍니다."</f>
        <v>간 초음파에서 간 낭종은 이전보다 크기가 증가한 소견입니다. 추적검사가 필요할 수 있으니 진료를 받으시기 바랍니다.</v>
      </c>
      <c r="E792" s="1" t="str">
        <f t="shared" si="247"/>
        <v>WOK02</v>
      </c>
      <c r="F792" s="1" t="str">
        <f>"PTM04"</f>
        <v>PTM04</v>
      </c>
      <c r="G792" s="1" t="str">
        <f>""</f>
        <v/>
      </c>
      <c r="H792" s="1" t="str">
        <f t="shared" si="255"/>
        <v>REL05</v>
      </c>
      <c r="I792" s="1" t="str">
        <f>""</f>
        <v/>
      </c>
      <c r="J792" s="1" t="str">
        <f>""</f>
        <v/>
      </c>
      <c r="K792" s="1" t="str">
        <f>""</f>
        <v/>
      </c>
      <c r="L792" s="1" t="str">
        <f t="shared" si="253"/>
        <v>R</v>
      </c>
      <c r="M792" s="1" t="str">
        <f t="shared" si="256"/>
        <v>T02</v>
      </c>
      <c r="N792" s="1" t="str">
        <f t="shared" si="244"/>
        <v>Y</v>
      </c>
      <c r="O792" s="1" t="str">
        <f t="shared" si="243"/>
        <v>Y</v>
      </c>
      <c r="P792" s="1" t="str">
        <f t="shared" si="254"/>
        <v>Y</v>
      </c>
      <c r="Q792" s="1" t="str">
        <f t="shared" si="246"/>
        <v>A</v>
      </c>
    </row>
    <row r="793" spans="1:17" x14ac:dyDescent="0.3">
      <c r="A793" s="1" t="str">
        <f t="shared" si="245"/>
        <v>C2</v>
      </c>
      <c r="B793" s="1" t="str">
        <f>"GNURAB05"</f>
        <v>GNURAB05</v>
      </c>
      <c r="C793" s="1" t="str">
        <f>"만성간질환"</f>
        <v>만성간질환</v>
      </c>
      <c r="D793" s="1" t="s">
        <v>272</v>
      </c>
      <c r="E793" s="1" t="str">
        <f t="shared" si="247"/>
        <v>WOK02</v>
      </c>
      <c r="F793" s="1" t="str">
        <f>"PTM011"</f>
        <v>PTM011</v>
      </c>
      <c r="G793" s="1" t="str">
        <f>""</f>
        <v/>
      </c>
      <c r="H793" s="1" t="str">
        <f t="shared" si="255"/>
        <v>REL05</v>
      </c>
      <c r="I793" s="1" t="str">
        <f>""</f>
        <v/>
      </c>
      <c r="J793" s="1" t="str">
        <f>""</f>
        <v/>
      </c>
      <c r="K793" s="1" t="str">
        <f>""</f>
        <v/>
      </c>
      <c r="L793" s="1" t="str">
        <f t="shared" si="253"/>
        <v>R</v>
      </c>
      <c r="M793" s="1" t="str">
        <f t="shared" si="256"/>
        <v>T02</v>
      </c>
      <c r="N793" s="1" t="str">
        <f t="shared" si="244"/>
        <v>Y</v>
      </c>
      <c r="O793" s="1" t="str">
        <f t="shared" ref="O793:O856" si="257">"Y"</f>
        <v>Y</v>
      </c>
      <c r="P793" s="1" t="str">
        <f t="shared" si="254"/>
        <v>Y</v>
      </c>
      <c r="Q793" s="1" t="str">
        <f t="shared" si="246"/>
        <v>A</v>
      </c>
    </row>
    <row r="794" spans="1:17" x14ac:dyDescent="0.3">
      <c r="A794" s="1" t="str">
        <f t="shared" si="245"/>
        <v>C2</v>
      </c>
      <c r="B794" s="1" t="str">
        <f>"GNURAB06"</f>
        <v>GNURAB06</v>
      </c>
      <c r="C794" s="1" t="str">
        <f>"간 내 담관 결석"</f>
        <v>간 내 담관 결석</v>
      </c>
      <c r="D794" s="1" t="str">
        <f>"간 초음파에서 간 내 담관 결석이 관찰됩니다. 소화기내과 진료를 받으시기 바랍니다."</f>
        <v>간 초음파에서 간 내 담관 결석이 관찰됩니다. 소화기내과 진료를 받으시기 바랍니다.</v>
      </c>
      <c r="E794" s="1" t="str">
        <f t="shared" si="247"/>
        <v>WOK02</v>
      </c>
      <c r="F794" s="1" t="str">
        <f t="shared" ref="F794:F810" si="258">"PTM04"</f>
        <v>PTM04</v>
      </c>
      <c r="G794" s="1" t="str">
        <f>""</f>
        <v/>
      </c>
      <c r="H794" s="1" t="str">
        <f t="shared" si="255"/>
        <v>REL05</v>
      </c>
      <c r="I794" s="1" t="str">
        <f>""</f>
        <v/>
      </c>
      <c r="J794" s="1" t="str">
        <f>""</f>
        <v/>
      </c>
      <c r="K794" s="1" t="str">
        <f>""</f>
        <v/>
      </c>
      <c r="L794" s="1" t="str">
        <f t="shared" si="253"/>
        <v>R</v>
      </c>
      <c r="M794" s="1" t="str">
        <f t="shared" si="256"/>
        <v>T02</v>
      </c>
      <c r="N794" s="1" t="str">
        <f t="shared" si="244"/>
        <v>Y</v>
      </c>
      <c r="O794" s="1" t="str">
        <f t="shared" si="257"/>
        <v>Y</v>
      </c>
      <c r="P794" s="1" t="str">
        <f t="shared" si="254"/>
        <v>Y</v>
      </c>
      <c r="Q794" s="1" t="str">
        <f t="shared" si="246"/>
        <v>A</v>
      </c>
    </row>
    <row r="795" spans="1:17" x14ac:dyDescent="0.3">
      <c r="A795" s="1" t="str">
        <f t="shared" si="245"/>
        <v>C2</v>
      </c>
      <c r="B795" s="1" t="str">
        <f>"GNURAB07"</f>
        <v>GNURAB07</v>
      </c>
      <c r="C795" s="1" t="str">
        <f>"간 내 석회화"</f>
        <v>간 내 석회화</v>
      </c>
      <c r="D795" s="1" t="str">
        <f>"간 초음파에서 간 실질에 석회화 음영이 있습니다. 임상적으로 문제가 되지 않는 소견으로 변화양상을 파악하기 위하여 주기적으로 관찰하시기 바랍니다."</f>
        <v>간 초음파에서 간 실질에 석회화 음영이 있습니다. 임상적으로 문제가 되지 않는 소견으로 변화양상을 파악하기 위하여 주기적으로 관찰하시기 바랍니다.</v>
      </c>
      <c r="E795" s="1" t="str">
        <f t="shared" si="247"/>
        <v>WOK02</v>
      </c>
      <c r="F795" s="1" t="str">
        <f t="shared" si="258"/>
        <v>PTM04</v>
      </c>
      <c r="G795" s="1" t="str">
        <f>""</f>
        <v/>
      </c>
      <c r="H795" s="1" t="str">
        <f t="shared" si="255"/>
        <v>REL05</v>
      </c>
      <c r="I795" s="1" t="str">
        <f>""</f>
        <v/>
      </c>
      <c r="J795" s="1" t="str">
        <f>""</f>
        <v/>
      </c>
      <c r="K795" s="1" t="str">
        <f>""</f>
        <v/>
      </c>
      <c r="L795" s="1" t="str">
        <f t="shared" si="253"/>
        <v>R</v>
      </c>
      <c r="M795" s="1" t="str">
        <f t="shared" si="256"/>
        <v>T02</v>
      </c>
      <c r="N795" s="1" t="str">
        <f t="shared" si="244"/>
        <v>Y</v>
      </c>
      <c r="O795" s="1" t="str">
        <f t="shared" si="257"/>
        <v>Y</v>
      </c>
      <c r="P795" s="1" t="str">
        <f t="shared" si="254"/>
        <v>Y</v>
      </c>
      <c r="Q795" s="1" t="str">
        <f t="shared" si="246"/>
        <v>A</v>
      </c>
    </row>
    <row r="796" spans="1:17" x14ac:dyDescent="0.3">
      <c r="A796" s="1" t="str">
        <f t="shared" si="245"/>
        <v>C2</v>
      </c>
      <c r="B796" s="1" t="str">
        <f>"GNURAB08"</f>
        <v>GNURAB08</v>
      </c>
      <c r="C796" s="1" t="str">
        <f>"간 복잡낭종"</f>
        <v>간 복잡낭종</v>
      </c>
      <c r="D796" s="1" t="str">
        <f>"간 초음파에서 간 복잡낭종이 관찰됩니다. 6개월 후 추적관찰이 필요하므로 소화기내과 진료 보십시오."</f>
        <v>간 초음파에서 간 복잡낭종이 관찰됩니다. 6개월 후 추적관찰이 필요하므로 소화기내과 진료 보십시오.</v>
      </c>
      <c r="E796" s="1" t="str">
        <f t="shared" si="247"/>
        <v>WOK02</v>
      </c>
      <c r="F796" s="1" t="str">
        <f t="shared" si="258"/>
        <v>PTM04</v>
      </c>
      <c r="G796" s="1" t="str">
        <f>""</f>
        <v/>
      </c>
      <c r="H796" s="1" t="str">
        <f t="shared" si="255"/>
        <v>REL05</v>
      </c>
      <c r="I796" s="1" t="str">
        <f>""</f>
        <v/>
      </c>
      <c r="J796" s="1" t="str">
        <f>""</f>
        <v/>
      </c>
      <c r="K796" s="1" t="str">
        <f>""</f>
        <v/>
      </c>
      <c r="L796" s="1" t="str">
        <f t="shared" si="253"/>
        <v>R</v>
      </c>
      <c r="M796" s="1" t="str">
        <f t="shared" si="256"/>
        <v>T02</v>
      </c>
      <c r="N796" s="1" t="str">
        <f t="shared" ref="N796:N859" si="259">"Y"</f>
        <v>Y</v>
      </c>
      <c r="O796" s="1" t="str">
        <f t="shared" si="257"/>
        <v>Y</v>
      </c>
      <c r="P796" s="1" t="str">
        <f t="shared" si="254"/>
        <v>Y</v>
      </c>
      <c r="Q796" s="1" t="str">
        <f t="shared" si="246"/>
        <v>A</v>
      </c>
    </row>
    <row r="797" spans="1:17" x14ac:dyDescent="0.3">
      <c r="A797" s="1" t="str">
        <f t="shared" si="245"/>
        <v>C2</v>
      </c>
      <c r="B797" s="1" t="str">
        <f>"GNURAB09"</f>
        <v>GNURAB09</v>
      </c>
      <c r="C797" s="1" t="str">
        <f>"간 복잡낭종(변화없음)"</f>
        <v>간 복잡낭종(변화없음)</v>
      </c>
      <c r="D797" s="1" t="str">
        <f>"간 초음파에서 간 복잡낭종 관찰되며 이전 검사와 비교시 변화 없습니다. 정기적으로 추적검사 하십시오."</f>
        <v>간 초음파에서 간 복잡낭종 관찰되며 이전 검사와 비교시 변화 없습니다. 정기적으로 추적검사 하십시오.</v>
      </c>
      <c r="E797" s="1" t="str">
        <f t="shared" si="247"/>
        <v>WOK02</v>
      </c>
      <c r="F797" s="1" t="str">
        <f t="shared" si="258"/>
        <v>PTM04</v>
      </c>
      <c r="G797" s="1" t="str">
        <f>""</f>
        <v/>
      </c>
      <c r="H797" s="1" t="str">
        <f t="shared" si="255"/>
        <v>REL05</v>
      </c>
      <c r="I797" s="1" t="str">
        <f>""</f>
        <v/>
      </c>
      <c r="J797" s="1" t="str">
        <f>""</f>
        <v/>
      </c>
      <c r="K797" s="1" t="str">
        <f>""</f>
        <v/>
      </c>
      <c r="L797" s="1" t="str">
        <f t="shared" si="253"/>
        <v>R</v>
      </c>
      <c r="M797" s="1" t="str">
        <f t="shared" si="256"/>
        <v>T02</v>
      </c>
      <c r="N797" s="1" t="str">
        <f t="shared" si="259"/>
        <v>Y</v>
      </c>
      <c r="O797" s="1" t="str">
        <f t="shared" si="257"/>
        <v>Y</v>
      </c>
      <c r="P797" s="1" t="str">
        <f t="shared" si="254"/>
        <v>Y</v>
      </c>
      <c r="Q797" s="1" t="str">
        <f t="shared" si="246"/>
        <v>A</v>
      </c>
    </row>
    <row r="798" spans="1:17" x14ac:dyDescent="0.3">
      <c r="A798" s="1" t="str">
        <f t="shared" si="245"/>
        <v>C2</v>
      </c>
      <c r="B798" s="1" t="str">
        <f>"GNURAB10"</f>
        <v>GNURAB10</v>
      </c>
      <c r="C798" s="1" t="str">
        <f>"간종괴 의심"</f>
        <v>간종괴 의심</v>
      </c>
      <c r="D798" s="1" t="str">
        <f>"간 초음파에서 간에 종괴가 의심됩니다. 정확한 진단을 위해 정밀검사가 필요합니다. 소화기내과 진료를 받으시기 바랍니다."</f>
        <v>간 초음파에서 간에 종괴가 의심됩니다. 정확한 진단을 위해 정밀검사가 필요합니다. 소화기내과 진료를 받으시기 바랍니다.</v>
      </c>
      <c r="E798" s="1" t="str">
        <f t="shared" si="247"/>
        <v>WOK02</v>
      </c>
      <c r="F798" s="1" t="str">
        <f t="shared" si="258"/>
        <v>PTM04</v>
      </c>
      <c r="G798" s="1" t="str">
        <f>""</f>
        <v/>
      </c>
      <c r="H798" s="1" t="str">
        <f t="shared" si="255"/>
        <v>REL05</v>
      </c>
      <c r="I798" s="1" t="str">
        <f>""</f>
        <v/>
      </c>
      <c r="J798" s="1" t="str">
        <f>""</f>
        <v/>
      </c>
      <c r="K798" s="1" t="str">
        <f>""</f>
        <v/>
      </c>
      <c r="L798" s="1" t="str">
        <f t="shared" si="253"/>
        <v>R</v>
      </c>
      <c r="M798" s="1" t="str">
        <f t="shared" si="256"/>
        <v>T02</v>
      </c>
      <c r="N798" s="1" t="str">
        <f t="shared" si="259"/>
        <v>Y</v>
      </c>
      <c r="O798" s="1" t="str">
        <f t="shared" si="257"/>
        <v>Y</v>
      </c>
      <c r="P798" s="1" t="str">
        <f t="shared" si="254"/>
        <v>Y</v>
      </c>
      <c r="Q798" s="1" t="str">
        <f t="shared" si="246"/>
        <v>A</v>
      </c>
    </row>
    <row r="799" spans="1:17" x14ac:dyDescent="0.3">
      <c r="A799" s="1" t="str">
        <f t="shared" si="245"/>
        <v>C2</v>
      </c>
      <c r="B799" s="1" t="str">
        <f>"GNURAB11"</f>
        <v>GNURAB11</v>
      </c>
      <c r="C799" s="1" t="str">
        <f>"경도 지방간"</f>
        <v>경도 지방간</v>
      </c>
      <c r="D799" s="1" t="s">
        <v>273</v>
      </c>
      <c r="E799" s="1" t="str">
        <f t="shared" si="247"/>
        <v>WOK02</v>
      </c>
      <c r="F799" s="1" t="str">
        <f t="shared" si="258"/>
        <v>PTM04</v>
      </c>
      <c r="G799" s="1" t="str">
        <f>""</f>
        <v/>
      </c>
      <c r="H799" s="1" t="str">
        <f t="shared" si="255"/>
        <v>REL05</v>
      </c>
      <c r="I799" s="1" t="str">
        <f>""</f>
        <v/>
      </c>
      <c r="J799" s="1" t="str">
        <f>""</f>
        <v/>
      </c>
      <c r="K799" s="1" t="str">
        <f>""</f>
        <v/>
      </c>
      <c r="L799" s="1" t="str">
        <f t="shared" si="253"/>
        <v>R</v>
      </c>
      <c r="M799" s="1" t="str">
        <f t="shared" si="256"/>
        <v>T02</v>
      </c>
      <c r="N799" s="1" t="str">
        <f t="shared" si="259"/>
        <v>Y</v>
      </c>
      <c r="O799" s="1" t="str">
        <f t="shared" si="257"/>
        <v>Y</v>
      </c>
      <c r="P799" s="1" t="str">
        <f t="shared" si="254"/>
        <v>Y</v>
      </c>
      <c r="Q799" s="1" t="str">
        <f t="shared" si="246"/>
        <v>A</v>
      </c>
    </row>
    <row r="800" spans="1:17" x14ac:dyDescent="0.3">
      <c r="A800" s="1" t="str">
        <f t="shared" ref="A800:A863" si="260">"C2"</f>
        <v>C2</v>
      </c>
      <c r="B800" s="1" t="str">
        <f>"GNURAB12"</f>
        <v>GNURAB12</v>
      </c>
      <c r="C800" s="1" t="str">
        <f>"중등도 지방간"</f>
        <v>중등도 지방간</v>
      </c>
      <c r="D800" s="1" t="s">
        <v>274</v>
      </c>
      <c r="E800" s="1" t="str">
        <f t="shared" si="247"/>
        <v>WOK02</v>
      </c>
      <c r="F800" s="1" t="str">
        <f t="shared" si="258"/>
        <v>PTM04</v>
      </c>
      <c r="G800" s="1" t="str">
        <f>""</f>
        <v/>
      </c>
      <c r="H800" s="1" t="str">
        <f t="shared" si="255"/>
        <v>REL05</v>
      </c>
      <c r="I800" s="1" t="str">
        <f>""</f>
        <v/>
      </c>
      <c r="J800" s="1" t="str">
        <f>""</f>
        <v/>
      </c>
      <c r="K800" s="1" t="str">
        <f>""</f>
        <v/>
      </c>
      <c r="L800" s="1" t="str">
        <f t="shared" si="253"/>
        <v>R</v>
      </c>
      <c r="M800" s="1" t="str">
        <f t="shared" si="256"/>
        <v>T02</v>
      </c>
      <c r="N800" s="1" t="str">
        <f t="shared" si="259"/>
        <v>Y</v>
      </c>
      <c r="O800" s="1" t="str">
        <f t="shared" si="257"/>
        <v>Y</v>
      </c>
      <c r="P800" s="1" t="str">
        <f t="shared" si="254"/>
        <v>Y</v>
      </c>
      <c r="Q800" s="1" t="str">
        <f t="shared" si="246"/>
        <v>A</v>
      </c>
    </row>
    <row r="801" spans="1:17" x14ac:dyDescent="0.3">
      <c r="A801" s="1" t="str">
        <f t="shared" si="260"/>
        <v>C2</v>
      </c>
      <c r="B801" s="1" t="str">
        <f>"GNURAB13"</f>
        <v>GNURAB13</v>
      </c>
      <c r="C801" s="1" t="str">
        <f>"고도 지방간"</f>
        <v>고도 지방간</v>
      </c>
      <c r="D801" s="1" t="s">
        <v>275</v>
      </c>
      <c r="E801" s="1" t="str">
        <f t="shared" si="247"/>
        <v>WOK02</v>
      </c>
      <c r="F801" s="1" t="str">
        <f t="shared" si="258"/>
        <v>PTM04</v>
      </c>
      <c r="G801" s="1" t="str">
        <f>""</f>
        <v/>
      </c>
      <c r="H801" s="1" t="str">
        <f t="shared" si="255"/>
        <v>REL05</v>
      </c>
      <c r="I801" s="1" t="str">
        <f>""</f>
        <v/>
      </c>
      <c r="J801" s="1" t="str">
        <f>""</f>
        <v/>
      </c>
      <c r="K801" s="1" t="str">
        <f>""</f>
        <v/>
      </c>
      <c r="L801" s="1" t="str">
        <f t="shared" si="253"/>
        <v>R</v>
      </c>
      <c r="M801" s="1" t="str">
        <f t="shared" si="256"/>
        <v>T02</v>
      </c>
      <c r="N801" s="1" t="str">
        <f t="shared" si="259"/>
        <v>Y</v>
      </c>
      <c r="O801" s="1" t="str">
        <f t="shared" si="257"/>
        <v>Y</v>
      </c>
      <c r="P801" s="1" t="str">
        <f t="shared" si="254"/>
        <v>Y</v>
      </c>
      <c r="Q801" s="1" t="str">
        <f t="shared" si="246"/>
        <v>A</v>
      </c>
    </row>
    <row r="802" spans="1:17" x14ac:dyDescent="0.3">
      <c r="A802" s="1" t="str">
        <f t="shared" si="260"/>
        <v>C2</v>
      </c>
      <c r="B802" s="1" t="str">
        <f>"GNURAB14"</f>
        <v>GNURAB14</v>
      </c>
      <c r="C802" s="1" t="str">
        <f>"경도~중등도 지방간"</f>
        <v>경도~중등도 지방간</v>
      </c>
      <c r="D802" s="1" t="s">
        <v>274</v>
      </c>
      <c r="E802" s="1" t="str">
        <f t="shared" si="247"/>
        <v>WOK02</v>
      </c>
      <c r="F802" s="1" t="str">
        <f t="shared" si="258"/>
        <v>PTM04</v>
      </c>
      <c r="G802" s="1" t="str">
        <f>""</f>
        <v/>
      </c>
      <c r="H802" s="1" t="str">
        <f t="shared" si="255"/>
        <v>REL05</v>
      </c>
      <c r="I802" s="1" t="str">
        <f>""</f>
        <v/>
      </c>
      <c r="J802" s="1" t="str">
        <f>""</f>
        <v/>
      </c>
      <c r="K802" s="1" t="str">
        <f>""</f>
        <v/>
      </c>
      <c r="L802" s="1" t="str">
        <f t="shared" si="253"/>
        <v>R</v>
      </c>
      <c r="M802" s="1" t="str">
        <f t="shared" si="256"/>
        <v>T02</v>
      </c>
      <c r="N802" s="1" t="str">
        <f t="shared" si="259"/>
        <v>Y</v>
      </c>
      <c r="O802" s="1" t="str">
        <f t="shared" si="257"/>
        <v>Y</v>
      </c>
      <c r="P802" s="1" t="str">
        <f t="shared" si="254"/>
        <v>Y</v>
      </c>
      <c r="Q802" s="1" t="str">
        <f t="shared" ref="Q802:Q834" si="261">"A"</f>
        <v>A</v>
      </c>
    </row>
    <row r="803" spans="1:17" x14ac:dyDescent="0.3">
      <c r="A803" s="1" t="str">
        <f t="shared" si="260"/>
        <v>C2</v>
      </c>
      <c r="B803" s="1" t="str">
        <f>"GNURAB15"</f>
        <v>GNURAB15</v>
      </c>
      <c r="C803" s="1" t="str">
        <f>"중등~고도 지방간"</f>
        <v>중등~고도 지방간</v>
      </c>
      <c r="D803" s="1" t="s">
        <v>275</v>
      </c>
      <c r="E803" s="1" t="str">
        <f t="shared" si="247"/>
        <v>WOK02</v>
      </c>
      <c r="F803" s="1" t="str">
        <f t="shared" si="258"/>
        <v>PTM04</v>
      </c>
      <c r="G803" s="1" t="str">
        <f>""</f>
        <v/>
      </c>
      <c r="H803" s="1" t="str">
        <f t="shared" si="255"/>
        <v>REL05</v>
      </c>
      <c r="I803" s="1" t="str">
        <f>""</f>
        <v/>
      </c>
      <c r="J803" s="1" t="str">
        <f>""</f>
        <v/>
      </c>
      <c r="K803" s="1" t="str">
        <f>""</f>
        <v/>
      </c>
      <c r="L803" s="1" t="str">
        <f t="shared" si="253"/>
        <v>R</v>
      </c>
      <c r="M803" s="1" t="str">
        <f t="shared" si="256"/>
        <v>T02</v>
      </c>
      <c r="N803" s="1" t="str">
        <f t="shared" si="259"/>
        <v>Y</v>
      </c>
      <c r="O803" s="1" t="str">
        <f t="shared" si="257"/>
        <v>Y</v>
      </c>
      <c r="P803" s="1" t="str">
        <f t="shared" si="254"/>
        <v>Y</v>
      </c>
      <c r="Q803" s="1" t="str">
        <f t="shared" si="261"/>
        <v>A</v>
      </c>
    </row>
    <row r="804" spans="1:17" x14ac:dyDescent="0.3">
      <c r="A804" s="1" t="str">
        <f t="shared" si="260"/>
        <v>C2</v>
      </c>
      <c r="B804" s="1" t="str">
        <f>"GNURAB16"</f>
        <v>GNURAB16</v>
      </c>
      <c r="C804" s="1" t="str">
        <f>"담관확장"</f>
        <v>담관확장</v>
      </c>
      <c r="D804" s="1" t="s">
        <v>276</v>
      </c>
      <c r="E804" s="1" t="str">
        <f t="shared" si="247"/>
        <v>WOK02</v>
      </c>
      <c r="F804" s="1" t="str">
        <f t="shared" si="258"/>
        <v>PTM04</v>
      </c>
      <c r="G804" s="1" t="str">
        <f>""</f>
        <v/>
      </c>
      <c r="H804" s="1" t="str">
        <f t="shared" si="255"/>
        <v>REL05</v>
      </c>
      <c r="I804" s="1" t="str">
        <f>""</f>
        <v/>
      </c>
      <c r="J804" s="1" t="str">
        <f>""</f>
        <v/>
      </c>
      <c r="K804" s="1" t="str">
        <f>""</f>
        <v/>
      </c>
      <c r="L804" s="1" t="str">
        <f t="shared" si="253"/>
        <v>R</v>
      </c>
      <c r="M804" s="1" t="str">
        <f t="shared" si="256"/>
        <v>T02</v>
      </c>
      <c r="N804" s="1" t="str">
        <f t="shared" si="259"/>
        <v>Y</v>
      </c>
      <c r="O804" s="1" t="str">
        <f t="shared" si="257"/>
        <v>Y</v>
      </c>
      <c r="P804" s="1" t="str">
        <f t="shared" si="254"/>
        <v>Y</v>
      </c>
      <c r="Q804" s="1" t="str">
        <f t="shared" si="261"/>
        <v>A</v>
      </c>
    </row>
    <row r="805" spans="1:17" x14ac:dyDescent="0.3">
      <c r="A805" s="1" t="str">
        <f t="shared" si="260"/>
        <v>C2</v>
      </c>
      <c r="B805" s="1" t="str">
        <f>"GNURAB17"</f>
        <v>GNURAB17</v>
      </c>
      <c r="C805" s="1" t="str">
        <f>"간경화"</f>
        <v>간경화</v>
      </c>
      <c r="D805" s="1" t="s">
        <v>277</v>
      </c>
      <c r="E805" s="1" t="str">
        <f t="shared" si="247"/>
        <v>WOK02</v>
      </c>
      <c r="F805" s="1" t="str">
        <f t="shared" si="258"/>
        <v>PTM04</v>
      </c>
      <c r="G805" s="1" t="str">
        <f>""</f>
        <v/>
      </c>
      <c r="H805" s="1" t="str">
        <f t="shared" si="255"/>
        <v>REL05</v>
      </c>
      <c r="I805" s="1" t="str">
        <f>""</f>
        <v/>
      </c>
      <c r="J805" s="1" t="str">
        <f>""</f>
        <v/>
      </c>
      <c r="K805" s="1" t="str">
        <f>""</f>
        <v/>
      </c>
      <c r="L805" s="1" t="str">
        <f t="shared" si="253"/>
        <v>R</v>
      </c>
      <c r="M805" s="1" t="str">
        <f t="shared" si="256"/>
        <v>T02</v>
      </c>
      <c r="N805" s="1" t="str">
        <f t="shared" si="259"/>
        <v>Y</v>
      </c>
      <c r="O805" s="1" t="str">
        <f t="shared" si="257"/>
        <v>Y</v>
      </c>
      <c r="P805" s="1" t="str">
        <f t="shared" si="254"/>
        <v>Y</v>
      </c>
      <c r="Q805" s="1" t="str">
        <f t="shared" si="261"/>
        <v>A</v>
      </c>
    </row>
    <row r="806" spans="1:17" x14ac:dyDescent="0.3">
      <c r="A806" s="1" t="str">
        <f t="shared" si="260"/>
        <v>C2</v>
      </c>
      <c r="B806" s="1" t="str">
        <f>"GNURAB18"</f>
        <v>GNURAB18</v>
      </c>
      <c r="C806" s="1" t="str">
        <f>"간비대"</f>
        <v>간비대</v>
      </c>
      <c r="D806" s="1" t="str">
        <f>"간 초음파에서 간비대 소견이 보입니다. 소화기내과 진료를 받으시기 바랍니다."</f>
        <v>간 초음파에서 간비대 소견이 보입니다. 소화기내과 진료를 받으시기 바랍니다.</v>
      </c>
      <c r="E806" s="1" t="str">
        <f t="shared" si="247"/>
        <v>WOK02</v>
      </c>
      <c r="F806" s="1" t="str">
        <f t="shared" si="258"/>
        <v>PTM04</v>
      </c>
      <c r="G806" s="1" t="str">
        <f>""</f>
        <v/>
      </c>
      <c r="H806" s="1" t="str">
        <f t="shared" si="255"/>
        <v>REL05</v>
      </c>
      <c r="I806" s="1" t="str">
        <f>""</f>
        <v/>
      </c>
      <c r="J806" s="1" t="str">
        <f>""</f>
        <v/>
      </c>
      <c r="K806" s="1" t="str">
        <f>""</f>
        <v/>
      </c>
      <c r="L806" s="1" t="str">
        <f t="shared" si="253"/>
        <v>R</v>
      </c>
      <c r="M806" s="1" t="str">
        <f t="shared" si="256"/>
        <v>T02</v>
      </c>
      <c r="N806" s="1" t="str">
        <f t="shared" si="259"/>
        <v>Y</v>
      </c>
      <c r="O806" s="1" t="str">
        <f t="shared" si="257"/>
        <v>Y</v>
      </c>
      <c r="P806" s="1" t="str">
        <f t="shared" si="254"/>
        <v>Y</v>
      </c>
      <c r="Q806" s="1" t="str">
        <f t="shared" si="261"/>
        <v>A</v>
      </c>
    </row>
    <row r="807" spans="1:17" x14ac:dyDescent="0.3">
      <c r="A807" s="1" t="str">
        <f t="shared" si="260"/>
        <v>C2</v>
      </c>
      <c r="B807" s="1" t="str">
        <f>"GNURAB19"</f>
        <v>GNURAB19</v>
      </c>
      <c r="C807" s="1" t="str">
        <f>"간혈관종"</f>
        <v>간혈관종</v>
      </c>
      <c r="D807" s="1" t="str">
        <f>"간 초음파에서 간에 혈관종(혈관이 뭉쳐서 보이는 덩어리)이 관찰됩니다. 혈관종의 변화양상을 파악하기 위해 주기적인 검사를 받으시기 바랍니다."</f>
        <v>간 초음파에서 간에 혈관종(혈관이 뭉쳐서 보이는 덩어리)이 관찰됩니다. 혈관종의 변화양상을 파악하기 위해 주기적인 검사를 받으시기 바랍니다.</v>
      </c>
      <c r="E807" s="1" t="str">
        <f t="shared" si="247"/>
        <v>WOK02</v>
      </c>
      <c r="F807" s="1" t="str">
        <f t="shared" si="258"/>
        <v>PTM04</v>
      </c>
      <c r="G807" s="1" t="str">
        <f>""</f>
        <v/>
      </c>
      <c r="H807" s="1" t="str">
        <f t="shared" si="255"/>
        <v>REL05</v>
      </c>
      <c r="I807" s="1" t="str">
        <f>""</f>
        <v/>
      </c>
      <c r="J807" s="1" t="str">
        <f>""</f>
        <v/>
      </c>
      <c r="K807" s="1" t="str">
        <f>""</f>
        <v/>
      </c>
      <c r="L807" s="1" t="str">
        <f t="shared" si="253"/>
        <v>R</v>
      </c>
      <c r="M807" s="1" t="str">
        <f t="shared" si="256"/>
        <v>T02</v>
      </c>
      <c r="N807" s="1" t="str">
        <f t="shared" si="259"/>
        <v>Y</v>
      </c>
      <c r="O807" s="1" t="str">
        <f t="shared" si="257"/>
        <v>Y</v>
      </c>
      <c r="P807" s="1" t="str">
        <f t="shared" si="254"/>
        <v>Y</v>
      </c>
      <c r="Q807" s="1" t="str">
        <f t="shared" si="261"/>
        <v>A</v>
      </c>
    </row>
    <row r="808" spans="1:17" x14ac:dyDescent="0.3">
      <c r="A808" s="1" t="str">
        <f t="shared" si="260"/>
        <v>C2</v>
      </c>
      <c r="B808" s="1" t="str">
        <f>"GNURAB20"</f>
        <v>GNURAB20</v>
      </c>
      <c r="C808" s="1" t="str">
        <f>"간혈관종 의심"</f>
        <v>간혈관종 의심</v>
      </c>
      <c r="D808" s="1" t="str">
        <f>"간 초음파에서 간에 혈관종(혈관이 뭉쳐서 보이는 덩어리)이 의심됩니다. 정확한 진단을 위해 간 CT 등과 같은 검사가 필요합니다."</f>
        <v>간 초음파에서 간에 혈관종(혈관이 뭉쳐서 보이는 덩어리)이 의심됩니다. 정확한 진단을 위해 간 CT 등과 같은 검사가 필요합니다.</v>
      </c>
      <c r="E808" s="1" t="str">
        <f t="shared" si="247"/>
        <v>WOK02</v>
      </c>
      <c r="F808" s="1" t="str">
        <f t="shared" si="258"/>
        <v>PTM04</v>
      </c>
      <c r="G808" s="1" t="str">
        <f>""</f>
        <v/>
      </c>
      <c r="H808" s="1" t="str">
        <f t="shared" si="255"/>
        <v>REL05</v>
      </c>
      <c r="I808" s="1" t="str">
        <f>""</f>
        <v/>
      </c>
      <c r="J808" s="1" t="str">
        <f>""</f>
        <v/>
      </c>
      <c r="K808" s="1" t="str">
        <f>""</f>
        <v/>
      </c>
      <c r="L808" s="1" t="str">
        <f t="shared" si="253"/>
        <v>R</v>
      </c>
      <c r="M808" s="1" t="str">
        <f t="shared" si="256"/>
        <v>T02</v>
      </c>
      <c r="N808" s="1" t="str">
        <f t="shared" si="259"/>
        <v>Y</v>
      </c>
      <c r="O808" s="1" t="str">
        <f t="shared" si="257"/>
        <v>Y</v>
      </c>
      <c r="P808" s="1" t="str">
        <f t="shared" si="254"/>
        <v>Y</v>
      </c>
      <c r="Q808" s="1" t="str">
        <f t="shared" si="261"/>
        <v>A</v>
      </c>
    </row>
    <row r="809" spans="1:17" x14ac:dyDescent="0.3">
      <c r="A809" s="1" t="str">
        <f t="shared" si="260"/>
        <v>C2</v>
      </c>
      <c r="B809" s="1" t="str">
        <f>"GNURAB21"</f>
        <v>GNURAB21</v>
      </c>
      <c r="C809" s="1" t="str">
        <f>"간혈관종(변화없음)"</f>
        <v>간혈관종(변화없음)</v>
      </c>
      <c r="D809" s="1" t="str">
        <f>"간 초음파에서 간에 혈관종(혈관이 뭉쳐서 보이는 덩어리) 소견은 이전 검사와 비교시 변화 없습니다. 혈관종의 변화양상을 파악하기 위해 주기적인 검사를 받으시기 바랍니다."</f>
        <v>간 초음파에서 간에 혈관종(혈관이 뭉쳐서 보이는 덩어리) 소견은 이전 검사와 비교시 변화 없습니다. 혈관종의 변화양상을 파악하기 위해 주기적인 검사를 받으시기 바랍니다.</v>
      </c>
      <c r="E809" s="1" t="str">
        <f t="shared" si="247"/>
        <v>WOK02</v>
      </c>
      <c r="F809" s="1" t="str">
        <f t="shared" si="258"/>
        <v>PTM04</v>
      </c>
      <c r="G809" s="1" t="str">
        <f>""</f>
        <v/>
      </c>
      <c r="H809" s="1" t="str">
        <f t="shared" si="255"/>
        <v>REL05</v>
      </c>
      <c r="I809" s="1" t="str">
        <f>""</f>
        <v/>
      </c>
      <c r="J809" s="1" t="str">
        <f>""</f>
        <v/>
      </c>
      <c r="K809" s="1" t="str">
        <f>""</f>
        <v/>
      </c>
      <c r="L809" s="1" t="str">
        <f t="shared" si="253"/>
        <v>R</v>
      </c>
      <c r="M809" s="1" t="str">
        <f t="shared" si="256"/>
        <v>T02</v>
      </c>
      <c r="N809" s="1" t="str">
        <f t="shared" si="259"/>
        <v>Y</v>
      </c>
      <c r="O809" s="1" t="str">
        <f t="shared" si="257"/>
        <v>Y</v>
      </c>
      <c r="P809" s="1" t="str">
        <f t="shared" si="254"/>
        <v>Y</v>
      </c>
      <c r="Q809" s="1" t="str">
        <f t="shared" si="261"/>
        <v>A</v>
      </c>
    </row>
    <row r="810" spans="1:17" x14ac:dyDescent="0.3">
      <c r="A810" s="1" t="str">
        <f t="shared" si="260"/>
        <v>C2</v>
      </c>
      <c r="B810" s="1" t="str">
        <f>"GNURAB22"</f>
        <v>GNURAB22</v>
      </c>
      <c r="C810" s="1" t="str">
        <f>"국소성 간지방 침윤"</f>
        <v>국소성 간지방 침윤</v>
      </c>
      <c r="D810" s="1" t="s">
        <v>278</v>
      </c>
      <c r="E810" s="1" t="str">
        <f t="shared" si="247"/>
        <v>WOK02</v>
      </c>
      <c r="F810" s="1" t="str">
        <f t="shared" si="258"/>
        <v>PTM04</v>
      </c>
      <c r="G810" s="1" t="str">
        <f>""</f>
        <v/>
      </c>
      <c r="H810" s="1" t="str">
        <f t="shared" si="255"/>
        <v>REL05</v>
      </c>
      <c r="I810" s="1" t="str">
        <f>""</f>
        <v/>
      </c>
      <c r="J810" s="1" t="str">
        <f>""</f>
        <v/>
      </c>
      <c r="K810" s="1" t="str">
        <f>""</f>
        <v/>
      </c>
      <c r="L810" s="1" t="str">
        <f t="shared" si="253"/>
        <v>R</v>
      </c>
      <c r="M810" s="1" t="str">
        <f t="shared" si="256"/>
        <v>T02</v>
      </c>
      <c r="N810" s="1" t="str">
        <f t="shared" si="259"/>
        <v>Y</v>
      </c>
      <c r="O810" s="1" t="str">
        <f t="shared" si="257"/>
        <v>Y</v>
      </c>
      <c r="P810" s="1" t="str">
        <f t="shared" si="254"/>
        <v>Y</v>
      </c>
      <c r="Q810" s="1" t="str">
        <f t="shared" si="261"/>
        <v>A</v>
      </c>
    </row>
    <row r="811" spans="1:17" x14ac:dyDescent="0.3">
      <c r="A811" s="1" t="str">
        <f t="shared" si="260"/>
        <v>C2</v>
      </c>
      <c r="B811" s="1" t="str">
        <f>"GNURAB23"</f>
        <v>GNURAB23</v>
      </c>
      <c r="C811" s="1" t="str">
        <f>"간 부분절제 상태"</f>
        <v>간 부분절제 상태</v>
      </c>
      <c r="D811" s="1" t="str">
        <f>"간 초음파에서 간 부분 절제 소견입니다. 정기검진을 받으십시오."</f>
        <v>간 초음파에서 간 부분 절제 소견입니다. 정기검진을 받으십시오.</v>
      </c>
      <c r="E811" s="1" t="str">
        <f t="shared" si="247"/>
        <v>WOK02</v>
      </c>
      <c r="F811" s="1" t="str">
        <f>"PTM011"</f>
        <v>PTM011</v>
      </c>
      <c r="G811" s="1" t="str">
        <f>""</f>
        <v/>
      </c>
      <c r="H811" s="1" t="str">
        <f t="shared" si="255"/>
        <v>REL05</v>
      </c>
      <c r="I811" s="1" t="str">
        <f>""</f>
        <v/>
      </c>
      <c r="J811" s="1" t="str">
        <f>""</f>
        <v/>
      </c>
      <c r="K811" s="1" t="str">
        <f>""</f>
        <v/>
      </c>
      <c r="L811" s="1" t="str">
        <f t="shared" si="253"/>
        <v>R</v>
      </c>
      <c r="M811" s="1" t="str">
        <f t="shared" si="256"/>
        <v>T02</v>
      </c>
      <c r="N811" s="1" t="str">
        <f t="shared" si="259"/>
        <v>Y</v>
      </c>
      <c r="O811" s="1" t="str">
        <f t="shared" si="257"/>
        <v>Y</v>
      </c>
      <c r="P811" s="1" t="str">
        <f t="shared" si="254"/>
        <v>Y</v>
      </c>
      <c r="Q811" s="1" t="str">
        <f t="shared" si="261"/>
        <v>A</v>
      </c>
    </row>
    <row r="812" spans="1:17" x14ac:dyDescent="0.3">
      <c r="A812" s="1" t="str">
        <f t="shared" si="260"/>
        <v>C2</v>
      </c>
      <c r="B812" s="1" t="str">
        <f>"GNURAB24"</f>
        <v>GNURAB24</v>
      </c>
      <c r="C812" s="1" t="str">
        <f>"간세포암 의심"</f>
        <v>간세포암 의심</v>
      </c>
      <c r="D812" s="1" t="str">
        <f>"간 초음파에서 간세포암이 의심됩니다. 소화기내과 진료를 받으시기 바랍니다."</f>
        <v>간 초음파에서 간세포암이 의심됩니다. 소화기내과 진료를 받으시기 바랍니다.</v>
      </c>
      <c r="E812" s="1" t="str">
        <f t="shared" si="247"/>
        <v>WOK02</v>
      </c>
      <c r="F812" s="1" t="str">
        <f>"PTM04"</f>
        <v>PTM04</v>
      </c>
      <c r="G812" s="1" t="str">
        <f>""</f>
        <v/>
      </c>
      <c r="H812" s="1" t="str">
        <f t="shared" si="255"/>
        <v>REL05</v>
      </c>
      <c r="I812" s="1" t="str">
        <f>""</f>
        <v/>
      </c>
      <c r="J812" s="1" t="str">
        <f>""</f>
        <v/>
      </c>
      <c r="K812" s="1" t="str">
        <f>""</f>
        <v/>
      </c>
      <c r="L812" s="1" t="str">
        <f t="shared" si="253"/>
        <v>R</v>
      </c>
      <c r="M812" s="1" t="str">
        <f t="shared" si="256"/>
        <v>T02</v>
      </c>
      <c r="N812" s="1" t="str">
        <f t="shared" si="259"/>
        <v>Y</v>
      </c>
      <c r="O812" s="1" t="str">
        <f t="shared" si="257"/>
        <v>Y</v>
      </c>
      <c r="P812" s="1" t="str">
        <f t="shared" si="254"/>
        <v>Y</v>
      </c>
      <c r="Q812" s="1" t="str">
        <f t="shared" si="261"/>
        <v>A</v>
      </c>
    </row>
    <row r="813" spans="1:17" x14ac:dyDescent="0.3">
      <c r="A813" s="1" t="str">
        <f t="shared" si="260"/>
        <v>C2</v>
      </c>
      <c r="B813" s="1" t="str">
        <f>"GNURAB25"</f>
        <v>GNURAB25</v>
      </c>
      <c r="C813" s="1" t="str">
        <f>"간전이암 의심"</f>
        <v>간전이암 의심</v>
      </c>
      <c r="D813" s="1" t="str">
        <f>"간 초음파에서 간전이암이 의심됩니다. 종양내과 진료를 받으시기 바랍니다."</f>
        <v>간 초음파에서 간전이암이 의심됩니다. 종양내과 진료를 받으시기 바랍니다.</v>
      </c>
      <c r="E813" s="1" t="str">
        <f t="shared" si="247"/>
        <v>WOK02</v>
      </c>
      <c r="F813" s="1" t="str">
        <f>"PTM04"</f>
        <v>PTM04</v>
      </c>
      <c r="G813" s="1" t="str">
        <f>""</f>
        <v/>
      </c>
      <c r="H813" s="1" t="str">
        <f t="shared" si="255"/>
        <v>REL05</v>
      </c>
      <c r="I813" s="1" t="str">
        <f>""</f>
        <v/>
      </c>
      <c r="J813" s="1" t="str">
        <f>""</f>
        <v/>
      </c>
      <c r="K813" s="1" t="str">
        <f>""</f>
        <v/>
      </c>
      <c r="L813" s="1" t="str">
        <f t="shared" si="253"/>
        <v>R</v>
      </c>
      <c r="M813" s="1" t="str">
        <f t="shared" si="256"/>
        <v>T02</v>
      </c>
      <c r="N813" s="1" t="str">
        <f t="shared" si="259"/>
        <v>Y</v>
      </c>
      <c r="O813" s="1" t="str">
        <f t="shared" si="257"/>
        <v>Y</v>
      </c>
      <c r="P813" s="1" t="str">
        <f t="shared" si="254"/>
        <v>Y</v>
      </c>
      <c r="Q813" s="1" t="str">
        <f t="shared" si="261"/>
        <v>A</v>
      </c>
    </row>
    <row r="814" spans="1:17" x14ac:dyDescent="0.3">
      <c r="A814" s="1" t="str">
        <f t="shared" si="260"/>
        <v>C2</v>
      </c>
      <c r="B814" s="1" t="str">
        <f>"GNURAB26"</f>
        <v>GNURAB26</v>
      </c>
      <c r="C814" s="1" t="str">
        <f>"간흡충증"</f>
        <v>간흡충증</v>
      </c>
      <c r="D814" s="1" t="str">
        <f>"간 초음파에서 간흡충증에서 관찰되는 담관 변화가 의심됩니다. 소화기내과 진료를 받으시기 바랍니다."</f>
        <v>간 초음파에서 간흡충증에서 관찰되는 담관 변화가 의심됩니다. 소화기내과 진료를 받으시기 바랍니다.</v>
      </c>
      <c r="E814" s="1" t="str">
        <f t="shared" si="247"/>
        <v>WOK02</v>
      </c>
      <c r="F814" s="1" t="str">
        <f>"PTM04"</f>
        <v>PTM04</v>
      </c>
      <c r="G814" s="1" t="str">
        <f>""</f>
        <v/>
      </c>
      <c r="H814" s="1" t="str">
        <f t="shared" si="255"/>
        <v>REL05</v>
      </c>
      <c r="I814" s="1" t="str">
        <f>""</f>
        <v/>
      </c>
      <c r="J814" s="1" t="str">
        <f>""</f>
        <v/>
      </c>
      <c r="K814" s="1" t="str">
        <f>""</f>
        <v/>
      </c>
      <c r="L814" s="1" t="str">
        <f t="shared" si="253"/>
        <v>R</v>
      </c>
      <c r="M814" s="1" t="str">
        <f t="shared" si="256"/>
        <v>T02</v>
      </c>
      <c r="N814" s="1" t="str">
        <f t="shared" si="259"/>
        <v>Y</v>
      </c>
      <c r="O814" s="1" t="str">
        <f t="shared" si="257"/>
        <v>Y</v>
      </c>
      <c r="P814" s="1" t="str">
        <f t="shared" si="254"/>
        <v>Y</v>
      </c>
      <c r="Q814" s="1" t="str">
        <f t="shared" si="261"/>
        <v>A</v>
      </c>
    </row>
    <row r="815" spans="1:17" x14ac:dyDescent="0.3">
      <c r="A815" s="1" t="str">
        <f t="shared" si="260"/>
        <v>C2</v>
      </c>
      <c r="B815" s="1" t="str">
        <f>"GNURAB27"</f>
        <v>GNURAB27</v>
      </c>
      <c r="C815" s="1" t="str">
        <f>"기타(직접입력)"</f>
        <v>기타(직접입력)</v>
      </c>
      <c r="D815" s="1" t="str">
        <f>"간 초음파에서"</f>
        <v>간 초음파에서</v>
      </c>
      <c r="E815" s="1" t="str">
        <f t="shared" ref="E815:E878" si="262">"WOK02"</f>
        <v>WOK02</v>
      </c>
      <c r="F815" s="1" t="str">
        <f>"PTM04"</f>
        <v>PTM04</v>
      </c>
      <c r="G815" s="1" t="str">
        <f>""</f>
        <v/>
      </c>
      <c r="H815" s="1" t="str">
        <f t="shared" si="255"/>
        <v>REL05</v>
      </c>
      <c r="I815" s="1" t="str">
        <f>""</f>
        <v/>
      </c>
      <c r="J815" s="1" t="str">
        <f>""</f>
        <v/>
      </c>
      <c r="K815" s="1" t="str">
        <f>""</f>
        <v/>
      </c>
      <c r="L815" s="1" t="str">
        <f t="shared" si="253"/>
        <v>R</v>
      </c>
      <c r="M815" s="1" t="str">
        <f t="shared" si="256"/>
        <v>T02</v>
      </c>
      <c r="N815" s="1" t="str">
        <f t="shared" si="259"/>
        <v>Y</v>
      </c>
      <c r="O815" s="1" t="str">
        <f t="shared" si="257"/>
        <v>Y</v>
      </c>
      <c r="P815" s="1" t="str">
        <f t="shared" si="254"/>
        <v>Y</v>
      </c>
      <c r="Q815" s="1" t="str">
        <f t="shared" si="261"/>
        <v>A</v>
      </c>
    </row>
    <row r="816" spans="1:17" x14ac:dyDescent="0.3">
      <c r="A816" s="1" t="str">
        <f t="shared" si="260"/>
        <v>C2</v>
      </c>
      <c r="B816" s="1" t="str">
        <f>"GNX098C"</f>
        <v>GNX098C</v>
      </c>
      <c r="C816" s="1" t="str">
        <f>"비결핵성 질환(국소 음영 증가)"</f>
        <v>비결핵성 질환(국소 음영 증가)</v>
      </c>
      <c r="D816" s="1" t="str">
        <f>"흉부방사선 검사 결과 국소적인 음영 증가 소견이 확인됩니다. 호흡기내과 진료를 받으시기 바랍니다."</f>
        <v>흉부방사선 검사 결과 국소적인 음영 증가 소견이 확인됩니다. 호흡기내과 진료를 받으시기 바랍니다.</v>
      </c>
      <c r="E816" s="1" t="str">
        <f t="shared" si="262"/>
        <v>WOK02</v>
      </c>
      <c r="F816" s="1" t="str">
        <f>"PTM03"</f>
        <v>PTM03</v>
      </c>
      <c r="G816" s="1" t="str">
        <f>"DISJ"</f>
        <v>DISJ</v>
      </c>
      <c r="H816" s="1" t="str">
        <f>"REL02"</f>
        <v>REL02</v>
      </c>
      <c r="I816" s="1" t="str">
        <f>""</f>
        <v/>
      </c>
      <c r="J816" s="1" t="str">
        <f>"C02D"</f>
        <v>C02D</v>
      </c>
      <c r="K816" s="1" t="str">
        <f>"C02C"</f>
        <v>C02C</v>
      </c>
      <c r="L816" s="1" t="str">
        <f t="shared" si="253"/>
        <v>R</v>
      </c>
      <c r="M816" s="1" t="str">
        <f>"T04"</f>
        <v>T04</v>
      </c>
      <c r="N816" s="1" t="str">
        <f t="shared" si="259"/>
        <v>Y</v>
      </c>
      <c r="O816" s="1" t="str">
        <f t="shared" si="257"/>
        <v>Y</v>
      </c>
      <c r="P816" s="1" t="str">
        <f t="shared" si="254"/>
        <v>Y</v>
      </c>
      <c r="Q816" s="1" t="str">
        <f t="shared" si="261"/>
        <v>A</v>
      </c>
    </row>
    <row r="817" spans="1:17" x14ac:dyDescent="0.3">
      <c r="A817" s="1" t="str">
        <f t="shared" si="260"/>
        <v>C2</v>
      </c>
      <c r="B817" s="1" t="str">
        <f>"HEP302"</f>
        <v>HEP302</v>
      </c>
      <c r="C817" s="1" t="str">
        <f>"간 질환주의"</f>
        <v>간 질환주의</v>
      </c>
      <c r="D817" s="1" t="str">
        <f>"음주삼가 하시고 정기적인 간기능검사 받으세요."</f>
        <v>음주삼가 하시고 정기적인 간기능검사 받으세요.</v>
      </c>
      <c r="E817" s="1" t="str">
        <f t="shared" si="262"/>
        <v>WOK02</v>
      </c>
      <c r="F817" s="1" t="str">
        <f>"PTM033"</f>
        <v>PTM033</v>
      </c>
      <c r="G817" s="1" t="str">
        <f>"DISK"</f>
        <v>DISK</v>
      </c>
      <c r="H817" s="1" t="str">
        <f t="shared" ref="H817:H828" si="263">"REL05"</f>
        <v>REL05</v>
      </c>
      <c r="I817" s="1" t="str">
        <f>""</f>
        <v/>
      </c>
      <c r="J817" s="1" t="str">
        <f t="shared" ref="J817:K825" si="264">"C05C"</f>
        <v>C05C</v>
      </c>
      <c r="K817" s="1" t="str">
        <f t="shared" si="264"/>
        <v>C05C</v>
      </c>
      <c r="L817" s="1" t="str">
        <f t="shared" si="253"/>
        <v>R</v>
      </c>
      <c r="M817" s="1" t="str">
        <f t="shared" ref="M817:M828" si="265">"T02"</f>
        <v>T02</v>
      </c>
      <c r="N817" s="1" t="str">
        <f t="shared" si="259"/>
        <v>Y</v>
      </c>
      <c r="O817" s="1" t="str">
        <f t="shared" si="257"/>
        <v>Y</v>
      </c>
      <c r="P817" s="1" t="str">
        <f t="shared" si="254"/>
        <v>Y</v>
      </c>
      <c r="Q817" s="1" t="str">
        <f t="shared" si="261"/>
        <v>A</v>
      </c>
    </row>
    <row r="818" spans="1:17" x14ac:dyDescent="0.3">
      <c r="A818" s="1" t="str">
        <f t="shared" si="260"/>
        <v>C2</v>
      </c>
      <c r="B818" s="1" t="str">
        <f>"HEP304"</f>
        <v>HEP304</v>
      </c>
      <c r="C818" s="1" t="str">
        <f>"B형간염 (경미한 간수치상승)"</f>
        <v>B형간염 (경미한 간수치상승)</v>
      </c>
      <c r="D818" s="1" t="str">
        <f>"B형간염 보균상태이고 경미한 간수치의 상승이 있습니다. 2개월내 간기능 추적검사 하세요"</f>
        <v>B형간염 보균상태이고 경미한 간수치의 상승이 있습니다. 2개월내 간기능 추적검사 하세요</v>
      </c>
      <c r="E818" s="1" t="str">
        <f t="shared" si="262"/>
        <v>WOK02</v>
      </c>
      <c r="F818" s="1" t="str">
        <f>"PTM032"</f>
        <v>PTM032</v>
      </c>
      <c r="G818" s="1" t="str">
        <f>"DISB"</f>
        <v>DISB</v>
      </c>
      <c r="H818" s="1" t="str">
        <f t="shared" si="263"/>
        <v>REL05</v>
      </c>
      <c r="I818" s="1" t="str">
        <f>""</f>
        <v/>
      </c>
      <c r="J818" s="1" t="str">
        <f t="shared" si="264"/>
        <v>C05C</v>
      </c>
      <c r="K818" s="1" t="str">
        <f t="shared" si="264"/>
        <v>C05C</v>
      </c>
      <c r="L818" s="1" t="str">
        <f t="shared" si="253"/>
        <v>R</v>
      </c>
      <c r="M818" s="1" t="str">
        <f t="shared" si="265"/>
        <v>T02</v>
      </c>
      <c r="N818" s="1" t="str">
        <f t="shared" si="259"/>
        <v>Y</v>
      </c>
      <c r="O818" s="1" t="str">
        <f t="shared" si="257"/>
        <v>Y</v>
      </c>
      <c r="P818" s="1" t="str">
        <f t="shared" si="254"/>
        <v>Y</v>
      </c>
      <c r="Q818" s="1" t="str">
        <f t="shared" si="261"/>
        <v>A</v>
      </c>
    </row>
    <row r="819" spans="1:17" x14ac:dyDescent="0.3">
      <c r="A819" s="1" t="str">
        <f t="shared" si="260"/>
        <v>C2</v>
      </c>
      <c r="B819" s="1" t="str">
        <f>"HEP306"</f>
        <v>HEP306</v>
      </c>
      <c r="C819" s="1" t="str">
        <f>"간 질환주의"</f>
        <v>간 질환주의</v>
      </c>
      <c r="D819" s="1" t="s">
        <v>279</v>
      </c>
      <c r="E819" s="1" t="str">
        <f t="shared" si="262"/>
        <v>WOK02</v>
      </c>
      <c r="F819" s="1" t="str">
        <f>"PTM01"</f>
        <v>PTM01</v>
      </c>
      <c r="G819" s="1" t="str">
        <f>"DISK"</f>
        <v>DISK</v>
      </c>
      <c r="H819" s="1" t="str">
        <f t="shared" si="263"/>
        <v>REL05</v>
      </c>
      <c r="I819" s="1" t="str">
        <f>""</f>
        <v/>
      </c>
      <c r="J819" s="1" t="str">
        <f t="shared" si="264"/>
        <v>C05C</v>
      </c>
      <c r="K819" s="1" t="str">
        <f t="shared" si="264"/>
        <v>C05C</v>
      </c>
      <c r="L819" s="1" t="str">
        <f t="shared" si="253"/>
        <v>R</v>
      </c>
      <c r="M819" s="1" t="str">
        <f t="shared" si="265"/>
        <v>T02</v>
      </c>
      <c r="N819" s="1" t="str">
        <f t="shared" si="259"/>
        <v>Y</v>
      </c>
      <c r="O819" s="1" t="str">
        <f t="shared" si="257"/>
        <v>Y</v>
      </c>
      <c r="P819" s="1" t="str">
        <f t="shared" si="254"/>
        <v>Y</v>
      </c>
      <c r="Q819" s="1" t="str">
        <f t="shared" si="261"/>
        <v>A</v>
      </c>
    </row>
    <row r="820" spans="1:17" x14ac:dyDescent="0.3">
      <c r="A820" s="1" t="str">
        <f t="shared" si="260"/>
        <v>C2</v>
      </c>
      <c r="B820" s="1" t="str">
        <f>"HEP306B"</f>
        <v>HEP306B</v>
      </c>
      <c r="C820" s="1" t="str">
        <f>"간 질환주의"</f>
        <v>간 질환주의</v>
      </c>
      <c r="D820" s="1" t="s">
        <v>279</v>
      </c>
      <c r="E820" s="1" t="str">
        <f t="shared" si="262"/>
        <v>WOK02</v>
      </c>
      <c r="F820" s="1" t="str">
        <f>"PTM01"</f>
        <v>PTM01</v>
      </c>
      <c r="G820" s="1" t="str">
        <f>"DISK"</f>
        <v>DISK</v>
      </c>
      <c r="H820" s="1" t="str">
        <f t="shared" si="263"/>
        <v>REL05</v>
      </c>
      <c r="I820" s="1" t="str">
        <f>""</f>
        <v/>
      </c>
      <c r="J820" s="1" t="str">
        <f t="shared" si="264"/>
        <v>C05C</v>
      </c>
      <c r="K820" s="1" t="str">
        <f t="shared" si="264"/>
        <v>C05C</v>
      </c>
      <c r="L820" s="1" t="str">
        <f t="shared" si="253"/>
        <v>R</v>
      </c>
      <c r="M820" s="1" t="str">
        <f t="shared" si="265"/>
        <v>T02</v>
      </c>
      <c r="N820" s="1" t="str">
        <f t="shared" si="259"/>
        <v>Y</v>
      </c>
      <c r="O820" s="1" t="str">
        <f t="shared" si="257"/>
        <v>Y</v>
      </c>
      <c r="P820" s="1" t="str">
        <f t="shared" si="254"/>
        <v>Y</v>
      </c>
      <c r="Q820" s="1" t="str">
        <f t="shared" si="261"/>
        <v>A</v>
      </c>
    </row>
    <row r="821" spans="1:17" x14ac:dyDescent="0.3">
      <c r="A821" s="1" t="str">
        <f t="shared" si="260"/>
        <v>C2</v>
      </c>
      <c r="B821" s="1" t="str">
        <f>"HEP307"</f>
        <v>HEP307</v>
      </c>
      <c r="C821" s="1" t="str">
        <f>"간 질환주의"</f>
        <v>간 질환주의</v>
      </c>
      <c r="D821" s="1" t="str">
        <f>"금주를 하시고 정기적 간기능검사 받으세요"</f>
        <v>금주를 하시고 정기적 간기능검사 받으세요</v>
      </c>
      <c r="E821" s="1" t="str">
        <f t="shared" si="262"/>
        <v>WOK02</v>
      </c>
      <c r="F821" s="1" t="str">
        <f>"PTM033"</f>
        <v>PTM033</v>
      </c>
      <c r="G821" s="1" t="str">
        <f>"DISK"</f>
        <v>DISK</v>
      </c>
      <c r="H821" s="1" t="str">
        <f t="shared" si="263"/>
        <v>REL05</v>
      </c>
      <c r="I821" s="1" t="str">
        <f>""</f>
        <v/>
      </c>
      <c r="J821" s="1" t="str">
        <f t="shared" si="264"/>
        <v>C05C</v>
      </c>
      <c r="K821" s="1" t="str">
        <f t="shared" si="264"/>
        <v>C05C</v>
      </c>
      <c r="L821" s="1" t="str">
        <f t="shared" si="253"/>
        <v>R</v>
      </c>
      <c r="M821" s="1" t="str">
        <f t="shared" si="265"/>
        <v>T02</v>
      </c>
      <c r="N821" s="1" t="str">
        <f t="shared" si="259"/>
        <v>Y</v>
      </c>
      <c r="O821" s="1" t="str">
        <f t="shared" si="257"/>
        <v>Y</v>
      </c>
      <c r="P821" s="1" t="str">
        <f t="shared" si="254"/>
        <v>Y</v>
      </c>
      <c r="Q821" s="1" t="str">
        <f t="shared" si="261"/>
        <v>A</v>
      </c>
    </row>
    <row r="822" spans="1:17" x14ac:dyDescent="0.3">
      <c r="A822" s="1" t="str">
        <f t="shared" si="260"/>
        <v>C2</v>
      </c>
      <c r="B822" s="1" t="str">
        <f>"HEP308"</f>
        <v>HEP308</v>
      </c>
      <c r="C822" s="1" t="str">
        <f>"간 질환주의"</f>
        <v>간 질환주의</v>
      </c>
      <c r="D822" s="1" t="str">
        <f>"지방간이 의심 됩니다. 음주삼가하시고 운동을 통한 체중조절이 필요합니다."</f>
        <v>지방간이 의심 됩니다. 음주삼가하시고 운동을 통한 체중조절이 필요합니다.</v>
      </c>
      <c r="E822" s="1" t="str">
        <f t="shared" si="262"/>
        <v>WOK02</v>
      </c>
      <c r="F822" s="1" t="str">
        <f>"PTM033"</f>
        <v>PTM033</v>
      </c>
      <c r="G822" s="1" t="str">
        <f>"DISK"</f>
        <v>DISK</v>
      </c>
      <c r="H822" s="1" t="str">
        <f t="shared" si="263"/>
        <v>REL05</v>
      </c>
      <c r="I822" s="1" t="str">
        <f>""</f>
        <v/>
      </c>
      <c r="J822" s="1" t="str">
        <f t="shared" si="264"/>
        <v>C05C</v>
      </c>
      <c r="K822" s="1" t="str">
        <f t="shared" si="264"/>
        <v>C05C</v>
      </c>
      <c r="L822" s="1" t="str">
        <f t="shared" si="253"/>
        <v>R</v>
      </c>
      <c r="M822" s="1" t="str">
        <f t="shared" si="265"/>
        <v>T02</v>
      </c>
      <c r="N822" s="1" t="str">
        <f t="shared" si="259"/>
        <v>Y</v>
      </c>
      <c r="O822" s="1" t="str">
        <f t="shared" si="257"/>
        <v>Y</v>
      </c>
      <c r="P822" s="1" t="str">
        <f t="shared" si="254"/>
        <v>Y</v>
      </c>
      <c r="Q822" s="1" t="str">
        <f t="shared" si="261"/>
        <v>A</v>
      </c>
    </row>
    <row r="823" spans="1:17" x14ac:dyDescent="0.3">
      <c r="A823" s="1" t="str">
        <f t="shared" si="260"/>
        <v>C2</v>
      </c>
      <c r="B823" s="1" t="str">
        <f>"HEP309"</f>
        <v>HEP309</v>
      </c>
      <c r="C823" s="1" t="str">
        <f>"간 질환주의"</f>
        <v>간 질환주의</v>
      </c>
      <c r="D823" s="1" t="str">
        <f>"음주삼가 하시고 정기적인 간기능검사 받으세요"</f>
        <v>음주삼가 하시고 정기적인 간기능검사 받으세요</v>
      </c>
      <c r="E823" s="1" t="str">
        <f t="shared" si="262"/>
        <v>WOK02</v>
      </c>
      <c r="F823" s="1" t="str">
        <f>"PTM033"</f>
        <v>PTM033</v>
      </c>
      <c r="G823" s="1" t="str">
        <f>"DISK"</f>
        <v>DISK</v>
      </c>
      <c r="H823" s="1" t="str">
        <f t="shared" si="263"/>
        <v>REL05</v>
      </c>
      <c r="I823" s="1" t="str">
        <f>""</f>
        <v/>
      </c>
      <c r="J823" s="1" t="str">
        <f t="shared" si="264"/>
        <v>C05C</v>
      </c>
      <c r="K823" s="1" t="str">
        <f t="shared" si="264"/>
        <v>C05C</v>
      </c>
      <c r="L823" s="1" t="str">
        <f t="shared" si="253"/>
        <v>R</v>
      </c>
      <c r="M823" s="1" t="str">
        <f t="shared" si="265"/>
        <v>T02</v>
      </c>
      <c r="N823" s="1" t="str">
        <f t="shared" si="259"/>
        <v>Y</v>
      </c>
      <c r="O823" s="1" t="str">
        <f t="shared" si="257"/>
        <v>Y</v>
      </c>
      <c r="P823" s="1" t="str">
        <f t="shared" si="254"/>
        <v>Y</v>
      </c>
      <c r="Q823" s="1" t="str">
        <f t="shared" si="261"/>
        <v>A</v>
      </c>
    </row>
    <row r="824" spans="1:17" x14ac:dyDescent="0.3">
      <c r="A824" s="1" t="str">
        <f t="shared" si="260"/>
        <v>C2</v>
      </c>
      <c r="B824" s="1" t="str">
        <f>"HEP320"</f>
        <v>HEP320</v>
      </c>
      <c r="C824" s="1" t="str">
        <f>"C형간염 보균자"</f>
        <v>C형간염 보균자</v>
      </c>
      <c r="D824" s="1" t="str">
        <f>"보호구 착용하여 근무하면서 정기적인 간기능 추적검사를 받으세요."</f>
        <v>보호구 착용하여 근무하면서 정기적인 간기능 추적검사를 받으세요.</v>
      </c>
      <c r="E824" s="1" t="str">
        <f t="shared" si="262"/>
        <v>WOK02</v>
      </c>
      <c r="F824" s="1" t="str">
        <f>"PTM033"</f>
        <v>PTM033</v>
      </c>
      <c r="G824" s="1" t="str">
        <f>"DISB"</f>
        <v>DISB</v>
      </c>
      <c r="H824" s="1" t="str">
        <f t="shared" si="263"/>
        <v>REL05</v>
      </c>
      <c r="I824" s="1" t="str">
        <f>""</f>
        <v/>
      </c>
      <c r="J824" s="1" t="str">
        <f t="shared" si="264"/>
        <v>C05C</v>
      </c>
      <c r="K824" s="1" t="str">
        <f t="shared" si="264"/>
        <v>C05C</v>
      </c>
      <c r="L824" s="1" t="str">
        <f t="shared" si="253"/>
        <v>R</v>
      </c>
      <c r="M824" s="1" t="str">
        <f t="shared" si="265"/>
        <v>T02</v>
      </c>
      <c r="N824" s="1" t="str">
        <f t="shared" si="259"/>
        <v>Y</v>
      </c>
      <c r="O824" s="1" t="str">
        <f t="shared" si="257"/>
        <v>Y</v>
      </c>
      <c r="P824" s="1" t="str">
        <f t="shared" si="254"/>
        <v>Y</v>
      </c>
      <c r="Q824" s="1" t="str">
        <f t="shared" si="261"/>
        <v>A</v>
      </c>
    </row>
    <row r="825" spans="1:17" x14ac:dyDescent="0.3">
      <c r="A825" s="1" t="str">
        <f t="shared" si="260"/>
        <v>C2</v>
      </c>
      <c r="B825" s="1" t="str">
        <f>"HEPLT1"</f>
        <v>HEPLT1</v>
      </c>
      <c r="C825" s="1" t="str">
        <f>"경미한 간기능이상(경계)"</f>
        <v>경미한 간기능이상(경계)</v>
      </c>
      <c r="D825" s="1" t="str">
        <f>"경미한 간수치의 상승이 있습니다.과로 및 음주를 삼가하세요."</f>
        <v>경미한 간수치의 상승이 있습니다.과로 및 음주를 삼가하세요.</v>
      </c>
      <c r="E825" s="1" t="str">
        <f t="shared" si="262"/>
        <v>WOK02</v>
      </c>
      <c r="F825" s="1" t="str">
        <f>"PTM01"</f>
        <v>PTM01</v>
      </c>
      <c r="G825" s="1" t="str">
        <f>"DISK"</f>
        <v>DISK</v>
      </c>
      <c r="H825" s="1" t="str">
        <f t="shared" si="263"/>
        <v>REL05</v>
      </c>
      <c r="I825" s="1" t="str">
        <f>""</f>
        <v/>
      </c>
      <c r="J825" s="1" t="str">
        <f t="shared" si="264"/>
        <v>C05C</v>
      </c>
      <c r="K825" s="1" t="str">
        <f t="shared" si="264"/>
        <v>C05C</v>
      </c>
      <c r="L825" s="1" t="str">
        <f t="shared" si="253"/>
        <v>R</v>
      </c>
      <c r="M825" s="1" t="str">
        <f t="shared" si="265"/>
        <v>T02</v>
      </c>
      <c r="N825" s="1" t="str">
        <f t="shared" si="259"/>
        <v>Y</v>
      </c>
      <c r="O825" s="1" t="str">
        <f t="shared" si="257"/>
        <v>Y</v>
      </c>
      <c r="P825" s="1" t="str">
        <f t="shared" si="254"/>
        <v>Y</v>
      </c>
      <c r="Q825" s="1" t="str">
        <f t="shared" si="261"/>
        <v>A</v>
      </c>
    </row>
    <row r="826" spans="1:17" x14ac:dyDescent="0.3">
      <c r="A826" s="1" t="str">
        <f t="shared" si="260"/>
        <v>C2</v>
      </c>
      <c r="B826" s="1" t="str">
        <f>"HEPLT3"</f>
        <v>HEPLT3</v>
      </c>
      <c r="C826" s="1" t="str">
        <f>"B형간염보균자(경도의 간수치 상승 동반)"</f>
        <v>B형간염보균자(경도의 간수치 상승 동반)</v>
      </c>
      <c r="D826" s="1" t="str">
        <f>"B형간염 보균상태이고 경미한 간수치의 상승이 있습니다. 2개월내 간기능 추적검사 하세요."</f>
        <v>B형간염 보균상태이고 경미한 간수치의 상승이 있습니다. 2개월내 간기능 추적검사 하세요.</v>
      </c>
      <c r="E826" s="1" t="str">
        <f t="shared" si="262"/>
        <v>WOK02</v>
      </c>
      <c r="F826" s="1" t="str">
        <f>"PTM032"</f>
        <v>PTM032</v>
      </c>
      <c r="G826" s="1" t="str">
        <f>"DISB"</f>
        <v>DISB</v>
      </c>
      <c r="H826" s="1" t="str">
        <f t="shared" si="263"/>
        <v>REL05</v>
      </c>
      <c r="I826" s="1" t="str">
        <f>""</f>
        <v/>
      </c>
      <c r="J826" s="1" t="str">
        <f>"C32C"</f>
        <v>C32C</v>
      </c>
      <c r="K826" s="1" t="str">
        <f>"C32C"</f>
        <v>C32C</v>
      </c>
      <c r="L826" s="1" t="str">
        <f t="shared" si="253"/>
        <v>R</v>
      </c>
      <c r="M826" s="1" t="str">
        <f t="shared" si="265"/>
        <v>T02</v>
      </c>
      <c r="N826" s="1" t="str">
        <f t="shared" si="259"/>
        <v>Y</v>
      </c>
      <c r="O826" s="1" t="str">
        <f t="shared" si="257"/>
        <v>Y</v>
      </c>
      <c r="P826" s="1" t="str">
        <f t="shared" si="254"/>
        <v>Y</v>
      </c>
      <c r="Q826" s="1" t="str">
        <f t="shared" si="261"/>
        <v>A</v>
      </c>
    </row>
    <row r="827" spans="1:17" x14ac:dyDescent="0.3">
      <c r="A827" s="1" t="str">
        <f t="shared" si="260"/>
        <v>C2</v>
      </c>
      <c r="B827" s="1" t="str">
        <f>"HEPLT5"</f>
        <v>HEPLT5</v>
      </c>
      <c r="C827" s="1" t="str">
        <f>"간 질환주의"</f>
        <v>간 질환주의</v>
      </c>
      <c r="D827" s="1" t="s">
        <v>280</v>
      </c>
      <c r="E827" s="1" t="str">
        <f t="shared" si="262"/>
        <v>WOK02</v>
      </c>
      <c r="F827" s="1" t="str">
        <f>"PTM033"</f>
        <v>PTM033</v>
      </c>
      <c r="G827" s="1" t="str">
        <f>"DISK"</f>
        <v>DISK</v>
      </c>
      <c r="H827" s="1" t="str">
        <f t="shared" si="263"/>
        <v>REL05</v>
      </c>
      <c r="I827" s="1" t="str">
        <f>""</f>
        <v/>
      </c>
      <c r="J827" s="1" t="str">
        <f>"C05C"</f>
        <v>C05C</v>
      </c>
      <c r="K827" s="1" t="str">
        <f>"C05C"</f>
        <v>C05C</v>
      </c>
      <c r="L827" s="1" t="str">
        <f t="shared" si="253"/>
        <v>R</v>
      </c>
      <c r="M827" s="1" t="str">
        <f t="shared" si="265"/>
        <v>T02</v>
      </c>
      <c r="N827" s="1" t="str">
        <f t="shared" si="259"/>
        <v>Y</v>
      </c>
      <c r="O827" s="1" t="str">
        <f t="shared" si="257"/>
        <v>Y</v>
      </c>
      <c r="P827" s="1" t="str">
        <f t="shared" si="254"/>
        <v>Y</v>
      </c>
      <c r="Q827" s="1" t="str">
        <f t="shared" si="261"/>
        <v>A</v>
      </c>
    </row>
    <row r="828" spans="1:17" x14ac:dyDescent="0.3">
      <c r="A828" s="1" t="str">
        <f t="shared" si="260"/>
        <v>C2</v>
      </c>
      <c r="B828" s="1" t="str">
        <f>"HEPLT9"</f>
        <v>HEPLT9</v>
      </c>
      <c r="C828" s="1" t="str">
        <f>"B형간염보유자(경도의 간수치 상승 동반)"</f>
        <v>B형간염보유자(경도의 간수치 상승 동반)</v>
      </c>
      <c r="D828" s="1" t="str">
        <f>"B형간염 보균상태이고 경미한 간수치의 상승이 있습니다. 2개월내 간기능 추적검사 하세요."</f>
        <v>B형간염 보균상태이고 경미한 간수치의 상승이 있습니다. 2개월내 간기능 추적검사 하세요.</v>
      </c>
      <c r="E828" s="1" t="str">
        <f t="shared" si="262"/>
        <v>WOK02</v>
      </c>
      <c r="F828" s="1" t="str">
        <f>"PTM032"</f>
        <v>PTM032</v>
      </c>
      <c r="G828" s="1" t="str">
        <f>"DISB"</f>
        <v>DISB</v>
      </c>
      <c r="H828" s="1" t="str">
        <f t="shared" si="263"/>
        <v>REL05</v>
      </c>
      <c r="I828" s="1" t="str">
        <f>""</f>
        <v/>
      </c>
      <c r="J828" s="1" t="str">
        <f>"C32C"</f>
        <v>C32C</v>
      </c>
      <c r="K828" s="1" t="str">
        <f>"C32C"</f>
        <v>C32C</v>
      </c>
      <c r="L828" s="1" t="str">
        <f t="shared" si="253"/>
        <v>R</v>
      </c>
      <c r="M828" s="1" t="str">
        <f t="shared" si="265"/>
        <v>T02</v>
      </c>
      <c r="N828" s="1" t="str">
        <f t="shared" si="259"/>
        <v>Y</v>
      </c>
      <c r="O828" s="1" t="str">
        <f t="shared" si="257"/>
        <v>Y</v>
      </c>
      <c r="P828" s="1" t="str">
        <f t="shared" si="254"/>
        <v>Y</v>
      </c>
      <c r="Q828" s="1" t="str">
        <f t="shared" si="261"/>
        <v>A</v>
      </c>
    </row>
    <row r="829" spans="1:17" x14ac:dyDescent="0.3">
      <c r="A829" s="1" t="str">
        <f t="shared" si="260"/>
        <v>C2</v>
      </c>
      <c r="B829" s="1" t="str">
        <f>"HPTLT4"</f>
        <v>HPTLT4</v>
      </c>
      <c r="C829" s="1" t="str">
        <f>"고혈압 주의"</f>
        <v>고혈압 주의</v>
      </c>
      <c r="D829" s="1" t="s">
        <v>281</v>
      </c>
      <c r="E829" s="1" t="str">
        <f t="shared" si="262"/>
        <v>WOK02</v>
      </c>
      <c r="F829" s="1" t="str">
        <f>"PTM03"</f>
        <v>PTM03</v>
      </c>
      <c r="G829" s="1" t="str">
        <f>"DISI"</f>
        <v>DISI</v>
      </c>
      <c r="H829" s="1" t="str">
        <f>"REL03"</f>
        <v>REL03</v>
      </c>
      <c r="I829" s="1" t="str">
        <f>""</f>
        <v/>
      </c>
      <c r="J829" s="1" t="str">
        <f>"C03C"</f>
        <v>C03C</v>
      </c>
      <c r="K829" s="1" t="str">
        <f>"C03C"</f>
        <v>C03C</v>
      </c>
      <c r="L829" s="1" t="str">
        <f t="shared" si="253"/>
        <v>R</v>
      </c>
      <c r="M829" s="1" t="str">
        <f>"T05"</f>
        <v>T05</v>
      </c>
      <c r="N829" s="1" t="str">
        <f t="shared" si="259"/>
        <v>Y</v>
      </c>
      <c r="O829" s="1" t="str">
        <f t="shared" si="257"/>
        <v>Y</v>
      </c>
      <c r="P829" s="1" t="str">
        <f t="shared" si="254"/>
        <v>Y</v>
      </c>
      <c r="Q829" s="1" t="str">
        <f t="shared" si="261"/>
        <v>A</v>
      </c>
    </row>
    <row r="830" spans="1:17" x14ac:dyDescent="0.3">
      <c r="A830" s="1" t="str">
        <f t="shared" si="260"/>
        <v>C2</v>
      </c>
      <c r="B830" s="1" t="str">
        <f>"HPTLT4G"</f>
        <v>HPTLT4G</v>
      </c>
      <c r="C830" s="1" t="str">
        <f>"고혈압주의"</f>
        <v>고혈압주의</v>
      </c>
      <c r="D830" s="1" t="s">
        <v>282</v>
      </c>
      <c r="E830" s="1" t="str">
        <f t="shared" si="262"/>
        <v>WOK02</v>
      </c>
      <c r="F830" s="1" t="str">
        <f>"PTM01"</f>
        <v>PTM01</v>
      </c>
      <c r="G830" s="1" t="str">
        <f>"DISI"</f>
        <v>DISI</v>
      </c>
      <c r="H830" s="1" t="str">
        <f>"REL03"</f>
        <v>REL03</v>
      </c>
      <c r="I830" s="1" t="str">
        <f>""</f>
        <v/>
      </c>
      <c r="J830" s="1" t="str">
        <f>"C03C"</f>
        <v>C03C</v>
      </c>
      <c r="K830" s="1" t="str">
        <f>"C03C"</f>
        <v>C03C</v>
      </c>
      <c r="L830" s="1" t="str">
        <f t="shared" si="253"/>
        <v>R</v>
      </c>
      <c r="M830" s="1" t="str">
        <f>"T03"</f>
        <v>T03</v>
      </c>
      <c r="N830" s="1" t="str">
        <f t="shared" si="259"/>
        <v>Y</v>
      </c>
      <c r="O830" s="1" t="str">
        <f t="shared" si="257"/>
        <v>Y</v>
      </c>
      <c r="P830" s="1" t="str">
        <f t="shared" si="254"/>
        <v>Y</v>
      </c>
      <c r="Q830" s="1" t="str">
        <f t="shared" si="261"/>
        <v>A</v>
      </c>
    </row>
    <row r="831" spans="1:17" x14ac:dyDescent="0.3">
      <c r="A831" s="1" t="str">
        <f t="shared" si="260"/>
        <v>C2</v>
      </c>
      <c r="B831" s="1" t="str">
        <f>"HTU301"</f>
        <v>HTU301</v>
      </c>
      <c r="C831" s="1" t="str">
        <f>"혈뇨주의"</f>
        <v>혈뇨주의</v>
      </c>
      <c r="D831" s="1" t="str">
        <f>"뇨침사 검사에서 현미경적 혈뇨가 보입니다. 원인에 대한 추적관찰이 필요합니다."</f>
        <v>뇨침사 검사에서 현미경적 혈뇨가 보입니다. 원인에 대한 추적관찰이 필요합니다.</v>
      </c>
      <c r="E831" s="1" t="str">
        <f t="shared" si="262"/>
        <v>WOK02</v>
      </c>
      <c r="F831" s="1" t="str">
        <f>"PTM03"</f>
        <v>PTM03</v>
      </c>
      <c r="G831" s="1" t="str">
        <f>"DISN"</f>
        <v>DISN</v>
      </c>
      <c r="H831" s="1" t="str">
        <f>"REL09"</f>
        <v>REL09</v>
      </c>
      <c r="I831" s="1" t="str">
        <f>""</f>
        <v/>
      </c>
      <c r="J831" s="1" t="str">
        <f>"C44C"</f>
        <v>C44C</v>
      </c>
      <c r="K831" s="1" t="str">
        <f>"C44C"</f>
        <v>C44C</v>
      </c>
      <c r="L831" s="1" t="str">
        <f t="shared" si="253"/>
        <v>R</v>
      </c>
      <c r="M831" s="1" t="str">
        <f>"T05"</f>
        <v>T05</v>
      </c>
      <c r="N831" s="1" t="str">
        <f t="shared" si="259"/>
        <v>Y</v>
      </c>
      <c r="O831" s="1" t="str">
        <f t="shared" si="257"/>
        <v>Y</v>
      </c>
      <c r="P831" s="1" t="str">
        <f t="shared" si="254"/>
        <v>Y</v>
      </c>
      <c r="Q831" s="1" t="str">
        <f t="shared" si="261"/>
        <v>A</v>
      </c>
    </row>
    <row r="832" spans="1:17" x14ac:dyDescent="0.3">
      <c r="A832" s="1" t="str">
        <f t="shared" si="260"/>
        <v>C2</v>
      </c>
      <c r="B832" s="1" t="str">
        <f>"HW0318"</f>
        <v>HW0318</v>
      </c>
      <c r="C832" s="1" t="str">
        <f>"메트헤모글로빈 수치 상승"</f>
        <v>메트헤모글로빈 수치 상승</v>
      </c>
      <c r="D832" s="1" t="s">
        <v>283</v>
      </c>
      <c r="E832" s="1" t="str">
        <f t="shared" si="262"/>
        <v>WOK02</v>
      </c>
      <c r="F832" s="1" t="str">
        <f>"PTM01"</f>
        <v>PTM01</v>
      </c>
      <c r="G832" s="1" t="str">
        <f>""</f>
        <v/>
      </c>
      <c r="H832" s="1" t="str">
        <f>"REL12"</f>
        <v>REL12</v>
      </c>
      <c r="I832" s="1" t="str">
        <f>""</f>
        <v/>
      </c>
      <c r="J832" s="1" t="str">
        <f>"C34C"</f>
        <v>C34C</v>
      </c>
      <c r="K832" s="1" t="str">
        <f>"C34C"</f>
        <v>C34C</v>
      </c>
      <c r="L832" s="1" t="str">
        <f t="shared" si="253"/>
        <v>R</v>
      </c>
      <c r="M832" s="1" t="str">
        <f>"T12"</f>
        <v>T12</v>
      </c>
      <c r="N832" s="1" t="str">
        <f t="shared" si="259"/>
        <v>Y</v>
      </c>
      <c r="O832" s="1" t="str">
        <f t="shared" si="257"/>
        <v>Y</v>
      </c>
      <c r="P832" s="1" t="str">
        <f t="shared" si="254"/>
        <v>Y</v>
      </c>
      <c r="Q832" s="1" t="str">
        <f t="shared" si="261"/>
        <v>A</v>
      </c>
    </row>
    <row r="833" spans="1:17" x14ac:dyDescent="0.3">
      <c r="A833" s="1" t="str">
        <f t="shared" si="260"/>
        <v>C2</v>
      </c>
      <c r="B833" s="1" t="str">
        <f>"IL01LIP303"</f>
        <v>IL01LIP303</v>
      </c>
      <c r="C833" s="1" t="str">
        <f>"콜레스테롤 이상"</f>
        <v>콜레스테롤 이상</v>
      </c>
      <c r="D833" s="1" t="str">
        <f>"심장질환에 유익한 고밀도(HDL)콜레스테롤이 낮습니다. 식이요법과 규칙적인 운동이 필요합니다."</f>
        <v>심장질환에 유익한 고밀도(HDL)콜레스테롤이 낮습니다. 식이요법과 규칙적인 운동이 필요합니다.</v>
      </c>
      <c r="E833" s="1" t="str">
        <f t="shared" si="262"/>
        <v>WOK02</v>
      </c>
      <c r="F833" s="1" t="str">
        <f>"PTM01"</f>
        <v>PTM01</v>
      </c>
      <c r="G833" s="1" t="str">
        <f>"DISE"</f>
        <v>DISE</v>
      </c>
      <c r="H833" s="1" t="str">
        <f>"REL04"</f>
        <v>REL04</v>
      </c>
      <c r="I833" s="1" t="str">
        <f>""</f>
        <v/>
      </c>
      <c r="J833" s="1" t="str">
        <f>"C04C"</f>
        <v>C04C</v>
      </c>
      <c r="K833" s="1" t="str">
        <f>"C04C"</f>
        <v>C04C</v>
      </c>
      <c r="L833" s="1" t="str">
        <f t="shared" si="253"/>
        <v>R</v>
      </c>
      <c r="M833" s="1" t="str">
        <f>"T03"</f>
        <v>T03</v>
      </c>
      <c r="N833" s="1" t="str">
        <f t="shared" si="259"/>
        <v>Y</v>
      </c>
      <c r="O833" s="1" t="str">
        <f t="shared" si="257"/>
        <v>Y</v>
      </c>
      <c r="P833" s="1" t="str">
        <f t="shared" si="254"/>
        <v>Y</v>
      </c>
      <c r="Q833" s="1" t="str">
        <f t="shared" si="261"/>
        <v>A</v>
      </c>
    </row>
    <row r="834" spans="1:17" x14ac:dyDescent="0.3">
      <c r="A834" s="1" t="str">
        <f t="shared" si="260"/>
        <v>C2</v>
      </c>
      <c r="B834" s="1" t="str">
        <f>"IL01LIPLT2"</f>
        <v>IL01LIPLT2</v>
      </c>
      <c r="C834" s="1" t="str">
        <f>"이상지질혈증 주의"</f>
        <v>이상지질혈증 주의</v>
      </c>
      <c r="D834" s="1" t="str">
        <f>"혈중 콜레스테롤 농도가 높아 주의를 요합니다. 콜레스테롤 농도가 올라가면 심혈관계질환 발생의 위험이 높습니다. 식이요법과 운동을 하고 추적관리를 하십시요."</f>
        <v>혈중 콜레스테롤 농도가 높아 주의를 요합니다. 콜레스테롤 농도가 올라가면 심혈관계질환 발생의 위험이 높습니다. 식이요법과 운동을 하고 추적관리를 하십시요.</v>
      </c>
      <c r="E834" s="1" t="str">
        <f t="shared" si="262"/>
        <v>WOK02</v>
      </c>
      <c r="F834" s="1" t="str">
        <f>"PTM01"</f>
        <v>PTM01</v>
      </c>
      <c r="G834" s="1" t="str">
        <f>"DISE"</f>
        <v>DISE</v>
      </c>
      <c r="H834" s="1" t="str">
        <f>"REL04"</f>
        <v>REL04</v>
      </c>
      <c r="I834" s="1" t="str">
        <f>""</f>
        <v/>
      </c>
      <c r="J834" s="1" t="str">
        <f>"C04C"</f>
        <v>C04C</v>
      </c>
      <c r="K834" s="1" t="str">
        <f>"C04C"</f>
        <v>C04C</v>
      </c>
      <c r="L834" s="1" t="str">
        <f t="shared" si="253"/>
        <v>R</v>
      </c>
      <c r="M834" s="1" t="str">
        <f>"T03"</f>
        <v>T03</v>
      </c>
      <c r="N834" s="1" t="str">
        <f t="shared" si="259"/>
        <v>Y</v>
      </c>
      <c r="O834" s="1" t="str">
        <f t="shared" si="257"/>
        <v>Y</v>
      </c>
      <c r="P834" s="1" t="str">
        <f t="shared" si="254"/>
        <v>Y</v>
      </c>
      <c r="Q834" s="1" t="str">
        <f t="shared" si="261"/>
        <v>A</v>
      </c>
    </row>
    <row r="835" spans="1:17" x14ac:dyDescent="0.3">
      <c r="A835" s="1" t="str">
        <f t="shared" si="260"/>
        <v>C2</v>
      </c>
      <c r="B835" s="1" t="str">
        <f>"J0002R"</f>
        <v>J0002R</v>
      </c>
      <c r="C835" s="1" t="str">
        <f>"(우측)감각신경성 난청 주의"</f>
        <v>(우측)감각신경성 난청 주의</v>
      </c>
      <c r="D835" s="1" t="s">
        <v>284</v>
      </c>
      <c r="E835" s="1" t="str">
        <f t="shared" si="262"/>
        <v>WOK02</v>
      </c>
      <c r="F835" s="1" t="str">
        <f>""</f>
        <v/>
      </c>
      <c r="G835" s="1" t="str">
        <f>"DISH"</f>
        <v>DISH</v>
      </c>
      <c r="H835" s="1" t="str">
        <f>"REL19"</f>
        <v>REL19</v>
      </c>
      <c r="I835" s="1" t="str">
        <f>"01"</f>
        <v>01</v>
      </c>
      <c r="J835" s="1" t="str">
        <f>"C55C"</f>
        <v>C55C</v>
      </c>
      <c r="K835" s="1" t="str">
        <f>"C55C"</f>
        <v>C55C</v>
      </c>
      <c r="L835" s="1" t="str">
        <f t="shared" si="253"/>
        <v>R</v>
      </c>
      <c r="M835" s="1" t="str">
        <f>"T10"</f>
        <v>T10</v>
      </c>
      <c r="N835" s="1" t="str">
        <f t="shared" si="259"/>
        <v>Y</v>
      </c>
      <c r="O835" s="1" t="str">
        <f t="shared" si="257"/>
        <v>Y</v>
      </c>
      <c r="P835" s="1" t="str">
        <f t="shared" si="254"/>
        <v>Y</v>
      </c>
      <c r="Q835" s="1" t="str">
        <f>"R"</f>
        <v>R</v>
      </c>
    </row>
    <row r="836" spans="1:17" x14ac:dyDescent="0.3">
      <c r="A836" s="1" t="str">
        <f t="shared" si="260"/>
        <v>C2</v>
      </c>
      <c r="B836" s="1" t="str">
        <f>"J0008"</f>
        <v>J0008</v>
      </c>
      <c r="C836" s="1" t="str">
        <f>"(우측)전음성난청주의"</f>
        <v>(우측)전음성난청주의</v>
      </c>
      <c r="D836" s="1" t="str">
        <f>"과거 중이염 등의 전음성난청으로 청력손실이 관찰됩니다. 이상증상이 있을시 이비인후과 진료를 받으세요."</f>
        <v>과거 중이염 등의 전음성난청으로 청력손실이 관찰됩니다. 이상증상이 있을시 이비인후과 진료를 받으세요.</v>
      </c>
      <c r="E836" s="1" t="str">
        <f t="shared" si="262"/>
        <v>WOK02</v>
      </c>
      <c r="F836" s="1" t="str">
        <f>"PTM03"</f>
        <v>PTM03</v>
      </c>
      <c r="G836" s="1" t="str">
        <f>"DISH"</f>
        <v>DISH</v>
      </c>
      <c r="H836" s="1" t="str">
        <f>"REL19"</f>
        <v>REL19</v>
      </c>
      <c r="I836" s="1" t="str">
        <f>"01"</f>
        <v>01</v>
      </c>
      <c r="J836" s="1" t="str">
        <f>"C55C"</f>
        <v>C55C</v>
      </c>
      <c r="K836" s="1" t="str">
        <f>"C55C"</f>
        <v>C55C</v>
      </c>
      <c r="L836" s="1" t="str">
        <f t="shared" si="253"/>
        <v>R</v>
      </c>
      <c r="M836" s="1" t="str">
        <f>"T10"</f>
        <v>T10</v>
      </c>
      <c r="N836" s="1" t="str">
        <f t="shared" si="259"/>
        <v>Y</v>
      </c>
      <c r="O836" s="1" t="str">
        <f t="shared" si="257"/>
        <v>Y</v>
      </c>
      <c r="P836" s="1" t="str">
        <f t="shared" si="254"/>
        <v>Y</v>
      </c>
      <c r="Q836" s="1" t="str">
        <f>"R"</f>
        <v>R</v>
      </c>
    </row>
    <row r="837" spans="1:17" x14ac:dyDescent="0.3">
      <c r="A837" s="1" t="str">
        <f t="shared" si="260"/>
        <v>C2</v>
      </c>
      <c r="B837" s="1" t="str">
        <f>"J0019"</f>
        <v>J0019</v>
      </c>
      <c r="C837" s="1" t="str">
        <f>"간암표지자(AFP) 상승"</f>
        <v>간암표지자(AFP) 상승</v>
      </c>
      <c r="D837" s="1" t="s">
        <v>285</v>
      </c>
      <c r="E837" s="1" t="str">
        <f t="shared" si="262"/>
        <v>WOK02</v>
      </c>
      <c r="F837" s="1" t="str">
        <f>"PTM01"</f>
        <v>PTM01</v>
      </c>
      <c r="G837" s="1" t="str">
        <f>"DISK"</f>
        <v>DISK</v>
      </c>
      <c r="H837" s="1" t="str">
        <f>"REL05"</f>
        <v>REL05</v>
      </c>
      <c r="I837" s="1" t="str">
        <f>""</f>
        <v/>
      </c>
      <c r="J837" s="1" t="str">
        <f>"C05C"</f>
        <v>C05C</v>
      </c>
      <c r="K837" s="1" t="str">
        <f>"C05C"</f>
        <v>C05C</v>
      </c>
      <c r="L837" s="1" t="str">
        <f t="shared" si="253"/>
        <v>R</v>
      </c>
      <c r="M837" s="1" t="str">
        <f>"T02"</f>
        <v>T02</v>
      </c>
      <c r="N837" s="1" t="str">
        <f t="shared" si="259"/>
        <v>Y</v>
      </c>
      <c r="O837" s="1" t="str">
        <f t="shared" si="257"/>
        <v>Y</v>
      </c>
      <c r="P837" s="1" t="str">
        <f t="shared" si="254"/>
        <v>Y</v>
      </c>
      <c r="Q837" s="1" t="str">
        <f t="shared" ref="Q837:Q868" si="266">"A"</f>
        <v>A</v>
      </c>
    </row>
    <row r="838" spans="1:17" x14ac:dyDescent="0.3">
      <c r="A838" s="1" t="str">
        <f t="shared" si="260"/>
        <v>C2</v>
      </c>
      <c r="B838" s="1" t="str">
        <f>"J0028"</f>
        <v>J0028</v>
      </c>
      <c r="C838" s="1" t="str">
        <f>"호중구 증가"</f>
        <v>호중구 증가</v>
      </c>
      <c r="D838" s="1" t="str">
        <f>"혈액검사상 호중구 증가 소견 보입니다. 추적관찰 및 의사 상담 받으세요"</f>
        <v>혈액검사상 호중구 증가 소견 보입니다. 추적관찰 및 의사 상담 받으세요</v>
      </c>
      <c r="E838" s="1" t="str">
        <f t="shared" si="262"/>
        <v>WOK02</v>
      </c>
      <c r="F838" s="1" t="str">
        <f>"PTM01"</f>
        <v>PTM01</v>
      </c>
      <c r="G838" s="1" t="str">
        <f t="shared" ref="G838:G848" si="267">"DISD"</f>
        <v>DISD</v>
      </c>
      <c r="H838" s="1" t="str">
        <f t="shared" ref="H838:H848" si="268">"REL12"</f>
        <v>REL12</v>
      </c>
      <c r="I838" s="1" t="str">
        <f>""</f>
        <v/>
      </c>
      <c r="J838" s="1" t="str">
        <f>"C34R"</f>
        <v>C34R</v>
      </c>
      <c r="K838" s="1" t="str">
        <f>"C34R"</f>
        <v>C34R</v>
      </c>
      <c r="L838" s="1" t="str">
        <f t="shared" si="253"/>
        <v>R</v>
      </c>
      <c r="M838" s="1" t="str">
        <f t="shared" ref="M838:M848" si="269">"T01"</f>
        <v>T01</v>
      </c>
      <c r="N838" s="1" t="str">
        <f t="shared" si="259"/>
        <v>Y</v>
      </c>
      <c r="O838" s="1" t="str">
        <f t="shared" si="257"/>
        <v>Y</v>
      </c>
      <c r="P838" s="1" t="str">
        <f t="shared" si="254"/>
        <v>Y</v>
      </c>
      <c r="Q838" s="1" t="str">
        <f t="shared" si="266"/>
        <v>A</v>
      </c>
    </row>
    <row r="839" spans="1:17" x14ac:dyDescent="0.3">
      <c r="A839" s="1" t="str">
        <f t="shared" si="260"/>
        <v>C2</v>
      </c>
      <c r="B839" s="1" t="str">
        <f>"J0029"</f>
        <v>J0029</v>
      </c>
      <c r="C839" s="1" t="str">
        <f>"호중구 감소"</f>
        <v>호중구 감소</v>
      </c>
      <c r="D839" s="1" t="str">
        <f>"혈액검사상 호중구 감소 관찰됩니다. 추적검사 및 의사상담 받으세요"</f>
        <v>혈액검사상 호중구 감소 관찰됩니다. 추적검사 및 의사상담 받으세요</v>
      </c>
      <c r="E839" s="1" t="str">
        <f t="shared" si="262"/>
        <v>WOK02</v>
      </c>
      <c r="F839" s="1" t="str">
        <f>"PTM01"</f>
        <v>PTM01</v>
      </c>
      <c r="G839" s="1" t="str">
        <f t="shared" si="267"/>
        <v>DISD</v>
      </c>
      <c r="H839" s="1" t="str">
        <f t="shared" si="268"/>
        <v>REL12</v>
      </c>
      <c r="I839" s="1" t="str">
        <f>""</f>
        <v/>
      </c>
      <c r="J839" s="1" t="str">
        <f>"C34C"</f>
        <v>C34C</v>
      </c>
      <c r="K839" s="1" t="str">
        <f>"C34C"</f>
        <v>C34C</v>
      </c>
      <c r="L839" s="1" t="str">
        <f t="shared" si="253"/>
        <v>R</v>
      </c>
      <c r="M839" s="1" t="str">
        <f t="shared" si="269"/>
        <v>T01</v>
      </c>
      <c r="N839" s="1" t="str">
        <f t="shared" si="259"/>
        <v>Y</v>
      </c>
      <c r="O839" s="1" t="str">
        <f t="shared" si="257"/>
        <v>Y</v>
      </c>
      <c r="P839" s="1" t="str">
        <f t="shared" si="254"/>
        <v>Y</v>
      </c>
      <c r="Q839" s="1" t="str">
        <f t="shared" si="266"/>
        <v>A</v>
      </c>
    </row>
    <row r="840" spans="1:17" x14ac:dyDescent="0.3">
      <c r="A840" s="1" t="str">
        <f t="shared" si="260"/>
        <v>C2</v>
      </c>
      <c r="B840" s="1" t="str">
        <f>"J0030"</f>
        <v>J0030</v>
      </c>
      <c r="C840" s="1" t="str">
        <f>"림프구 감소"</f>
        <v>림프구 감소</v>
      </c>
      <c r="D840" s="1" t="str">
        <f>"혈액검사상 임프구 감소 관찰됩니다. 추적검사 및 의사상담 받으세요."</f>
        <v>혈액검사상 임프구 감소 관찰됩니다. 추적검사 및 의사상담 받으세요.</v>
      </c>
      <c r="E840" s="1" t="str">
        <f t="shared" si="262"/>
        <v>WOK02</v>
      </c>
      <c r="F840" s="1" t="str">
        <f>"PTM033"</f>
        <v>PTM033</v>
      </c>
      <c r="G840" s="1" t="str">
        <f t="shared" si="267"/>
        <v>DISD</v>
      </c>
      <c r="H840" s="1" t="str">
        <f t="shared" si="268"/>
        <v>REL12</v>
      </c>
      <c r="I840" s="1" t="str">
        <f>""</f>
        <v/>
      </c>
      <c r="J840" s="1" t="str">
        <f t="shared" ref="J840:K844" si="270">"C34R"</f>
        <v>C34R</v>
      </c>
      <c r="K840" s="1" t="str">
        <f t="shared" si="270"/>
        <v>C34R</v>
      </c>
      <c r="L840" s="1" t="str">
        <f t="shared" si="253"/>
        <v>R</v>
      </c>
      <c r="M840" s="1" t="str">
        <f t="shared" si="269"/>
        <v>T01</v>
      </c>
      <c r="N840" s="1" t="str">
        <f t="shared" si="259"/>
        <v>Y</v>
      </c>
      <c r="O840" s="1" t="str">
        <f t="shared" si="257"/>
        <v>Y</v>
      </c>
      <c r="P840" s="1" t="str">
        <f t="shared" si="254"/>
        <v>Y</v>
      </c>
      <c r="Q840" s="1" t="str">
        <f t="shared" si="266"/>
        <v>A</v>
      </c>
    </row>
    <row r="841" spans="1:17" x14ac:dyDescent="0.3">
      <c r="A841" s="1" t="str">
        <f t="shared" si="260"/>
        <v>C2</v>
      </c>
      <c r="B841" s="1" t="str">
        <f>"J0031"</f>
        <v>J0031</v>
      </c>
      <c r="C841" s="1" t="str">
        <f>"림프구 증가"</f>
        <v>림프구 증가</v>
      </c>
      <c r="D841" s="1" t="str">
        <f>"혈액검사상 임프구 증가 관찰됩니다. 추적검사 및 의사상담 받으세요."</f>
        <v>혈액검사상 임프구 증가 관찰됩니다. 추적검사 및 의사상담 받으세요.</v>
      </c>
      <c r="E841" s="1" t="str">
        <f t="shared" si="262"/>
        <v>WOK02</v>
      </c>
      <c r="F841" s="1" t="str">
        <f>"PTM033"</f>
        <v>PTM033</v>
      </c>
      <c r="G841" s="1" t="str">
        <f t="shared" si="267"/>
        <v>DISD</v>
      </c>
      <c r="H841" s="1" t="str">
        <f t="shared" si="268"/>
        <v>REL12</v>
      </c>
      <c r="I841" s="1" t="str">
        <f>""</f>
        <v/>
      </c>
      <c r="J841" s="1" t="str">
        <f t="shared" si="270"/>
        <v>C34R</v>
      </c>
      <c r="K841" s="1" t="str">
        <f t="shared" si="270"/>
        <v>C34R</v>
      </c>
      <c r="L841" s="1" t="str">
        <f t="shared" ref="L841:L875" si="271">"R"</f>
        <v>R</v>
      </c>
      <c r="M841" s="1" t="str">
        <f t="shared" si="269"/>
        <v>T01</v>
      </c>
      <c r="N841" s="1" t="str">
        <f t="shared" si="259"/>
        <v>Y</v>
      </c>
      <c r="O841" s="1" t="str">
        <f t="shared" si="257"/>
        <v>Y</v>
      </c>
      <c r="P841" s="1" t="str">
        <f t="shared" si="254"/>
        <v>Y</v>
      </c>
      <c r="Q841" s="1" t="str">
        <f t="shared" si="266"/>
        <v>A</v>
      </c>
    </row>
    <row r="842" spans="1:17" x14ac:dyDescent="0.3">
      <c r="A842" s="1" t="str">
        <f t="shared" si="260"/>
        <v>C2</v>
      </c>
      <c r="B842" s="1" t="str">
        <f>"J0032"</f>
        <v>J0032</v>
      </c>
      <c r="C842" s="1" t="str">
        <f>"단핵구 감소"</f>
        <v>단핵구 감소</v>
      </c>
      <c r="D842" s="1" t="str">
        <f>"혈액검사상 단핵구 감소 관찰됩니다. 추적검사 및 의사상담 받으세요."</f>
        <v>혈액검사상 단핵구 감소 관찰됩니다. 추적검사 및 의사상담 받으세요.</v>
      </c>
      <c r="E842" s="1" t="str">
        <f t="shared" si="262"/>
        <v>WOK02</v>
      </c>
      <c r="F842" s="1" t="str">
        <f>"PTM033"</f>
        <v>PTM033</v>
      </c>
      <c r="G842" s="1" t="str">
        <f t="shared" si="267"/>
        <v>DISD</v>
      </c>
      <c r="H842" s="1" t="str">
        <f t="shared" si="268"/>
        <v>REL12</v>
      </c>
      <c r="I842" s="1" t="str">
        <f>""</f>
        <v/>
      </c>
      <c r="J842" s="1" t="str">
        <f t="shared" si="270"/>
        <v>C34R</v>
      </c>
      <c r="K842" s="1" t="str">
        <f t="shared" si="270"/>
        <v>C34R</v>
      </c>
      <c r="L842" s="1" t="str">
        <f t="shared" si="271"/>
        <v>R</v>
      </c>
      <c r="M842" s="1" t="str">
        <f t="shared" si="269"/>
        <v>T01</v>
      </c>
      <c r="N842" s="1" t="str">
        <f t="shared" si="259"/>
        <v>Y</v>
      </c>
      <c r="O842" s="1" t="str">
        <f t="shared" si="257"/>
        <v>Y</v>
      </c>
      <c r="P842" s="1" t="str">
        <f t="shared" ref="P842:P905" si="272">"Y"</f>
        <v>Y</v>
      </c>
      <c r="Q842" s="1" t="str">
        <f t="shared" si="266"/>
        <v>A</v>
      </c>
    </row>
    <row r="843" spans="1:17" x14ac:dyDescent="0.3">
      <c r="A843" s="1" t="str">
        <f t="shared" si="260"/>
        <v>C2</v>
      </c>
      <c r="B843" s="1" t="str">
        <f>"J0033"</f>
        <v>J0033</v>
      </c>
      <c r="C843" s="1" t="str">
        <f>"단핵구 증가"</f>
        <v>단핵구 증가</v>
      </c>
      <c r="D843" s="1" t="str">
        <f>"혈액검사상 단핵구 증가 관찰됩니다. 추적검사 및 의사상담 받으세요."</f>
        <v>혈액검사상 단핵구 증가 관찰됩니다. 추적검사 및 의사상담 받으세요.</v>
      </c>
      <c r="E843" s="1" t="str">
        <f t="shared" si="262"/>
        <v>WOK02</v>
      </c>
      <c r="F843" s="1" t="str">
        <f>"PTM033"</f>
        <v>PTM033</v>
      </c>
      <c r="G843" s="1" t="str">
        <f t="shared" si="267"/>
        <v>DISD</v>
      </c>
      <c r="H843" s="1" t="str">
        <f t="shared" si="268"/>
        <v>REL12</v>
      </c>
      <c r="I843" s="1" t="str">
        <f>""</f>
        <v/>
      </c>
      <c r="J843" s="1" t="str">
        <f t="shared" si="270"/>
        <v>C34R</v>
      </c>
      <c r="K843" s="1" t="str">
        <f t="shared" si="270"/>
        <v>C34R</v>
      </c>
      <c r="L843" s="1" t="str">
        <f t="shared" si="271"/>
        <v>R</v>
      </c>
      <c r="M843" s="1" t="str">
        <f t="shared" si="269"/>
        <v>T01</v>
      </c>
      <c r="N843" s="1" t="str">
        <f t="shared" si="259"/>
        <v>Y</v>
      </c>
      <c r="O843" s="1" t="str">
        <f t="shared" si="257"/>
        <v>Y</v>
      </c>
      <c r="P843" s="1" t="str">
        <f t="shared" si="272"/>
        <v>Y</v>
      </c>
      <c r="Q843" s="1" t="str">
        <f t="shared" si="266"/>
        <v>A</v>
      </c>
    </row>
    <row r="844" spans="1:17" x14ac:dyDescent="0.3">
      <c r="A844" s="1" t="str">
        <f t="shared" si="260"/>
        <v>C2</v>
      </c>
      <c r="B844" s="1" t="str">
        <f>"J0037"</f>
        <v>J0037</v>
      </c>
      <c r="C844" s="1" t="str">
        <f>"호염기구 증가"</f>
        <v>호염기구 증가</v>
      </c>
      <c r="D844" s="1" t="str">
        <f>"혈액검사상 호염기구 증가 관찰됩니다. 추적검사 및 의사상담 받으세요."</f>
        <v>혈액검사상 호염기구 증가 관찰됩니다. 추적검사 및 의사상담 받으세요.</v>
      </c>
      <c r="E844" s="1" t="str">
        <f t="shared" si="262"/>
        <v>WOK02</v>
      </c>
      <c r="F844" s="1" t="str">
        <f>"PTM01"</f>
        <v>PTM01</v>
      </c>
      <c r="G844" s="1" t="str">
        <f t="shared" si="267"/>
        <v>DISD</v>
      </c>
      <c r="H844" s="1" t="str">
        <f t="shared" si="268"/>
        <v>REL12</v>
      </c>
      <c r="I844" s="1" t="str">
        <f>""</f>
        <v/>
      </c>
      <c r="J844" s="1" t="str">
        <f t="shared" si="270"/>
        <v>C34R</v>
      </c>
      <c r="K844" s="1" t="str">
        <f t="shared" si="270"/>
        <v>C34R</v>
      </c>
      <c r="L844" s="1" t="str">
        <f t="shared" si="271"/>
        <v>R</v>
      </c>
      <c r="M844" s="1" t="str">
        <f t="shared" si="269"/>
        <v>T01</v>
      </c>
      <c r="N844" s="1" t="str">
        <f t="shared" si="259"/>
        <v>Y</v>
      </c>
      <c r="O844" s="1" t="str">
        <f t="shared" si="257"/>
        <v>Y</v>
      </c>
      <c r="P844" s="1" t="str">
        <f t="shared" si="272"/>
        <v>Y</v>
      </c>
      <c r="Q844" s="1" t="str">
        <f t="shared" si="266"/>
        <v>A</v>
      </c>
    </row>
    <row r="845" spans="1:17" x14ac:dyDescent="0.3">
      <c r="A845" s="1" t="str">
        <f t="shared" si="260"/>
        <v>C2</v>
      </c>
      <c r="B845" s="1" t="str">
        <f>"J0038"</f>
        <v>J0038</v>
      </c>
      <c r="C845" s="1" t="str">
        <f>"철결합능 감소"</f>
        <v>철결합능 감소</v>
      </c>
      <c r="D845" s="1" t="str">
        <f>"혈액검사상 철결합능 감소 소견이 관찰 됩니다. 추적검사 및 의사상담 받으세요."</f>
        <v>혈액검사상 철결합능 감소 소견이 관찰 됩니다. 추적검사 및 의사상담 받으세요.</v>
      </c>
      <c r="E845" s="1" t="str">
        <f t="shared" si="262"/>
        <v>WOK02</v>
      </c>
      <c r="F845" s="1" t="str">
        <f>"PTM01"</f>
        <v>PTM01</v>
      </c>
      <c r="G845" s="1" t="str">
        <f t="shared" si="267"/>
        <v>DISD</v>
      </c>
      <c r="H845" s="1" t="str">
        <f t="shared" si="268"/>
        <v>REL12</v>
      </c>
      <c r="I845" s="1" t="str">
        <f>""</f>
        <v/>
      </c>
      <c r="J845" s="1" t="str">
        <f t="shared" ref="J845:K848" si="273">"C34C"</f>
        <v>C34C</v>
      </c>
      <c r="K845" s="1" t="str">
        <f t="shared" si="273"/>
        <v>C34C</v>
      </c>
      <c r="L845" s="1" t="str">
        <f t="shared" si="271"/>
        <v>R</v>
      </c>
      <c r="M845" s="1" t="str">
        <f t="shared" si="269"/>
        <v>T01</v>
      </c>
      <c r="N845" s="1" t="str">
        <f t="shared" si="259"/>
        <v>Y</v>
      </c>
      <c r="O845" s="1" t="str">
        <f t="shared" si="257"/>
        <v>Y</v>
      </c>
      <c r="P845" s="1" t="str">
        <f t="shared" si="272"/>
        <v>Y</v>
      </c>
      <c r="Q845" s="1" t="str">
        <f t="shared" si="266"/>
        <v>A</v>
      </c>
    </row>
    <row r="846" spans="1:17" x14ac:dyDescent="0.3">
      <c r="A846" s="1" t="str">
        <f t="shared" si="260"/>
        <v>C2</v>
      </c>
      <c r="B846" s="1" t="str">
        <f>"J0038H"</f>
        <v>J0038H</v>
      </c>
      <c r="C846" s="1" t="str">
        <f>"철결합능 감소"</f>
        <v>철결합능 감소</v>
      </c>
      <c r="D846" s="1" t="str">
        <f>"혈액검사상 철결합능 감소 소견이 관찰 됩니다. 하지만 단독적인 수치 감소로는 임상적인 의미를 두기 어렵습니다. 추후 정기검진상 수치 변화를 확인하십시오."</f>
        <v>혈액검사상 철결합능 감소 소견이 관찰 됩니다. 하지만 단독적인 수치 감소로는 임상적인 의미를 두기 어렵습니다. 추후 정기검진상 수치 변화를 확인하십시오.</v>
      </c>
      <c r="E846" s="1" t="str">
        <f t="shared" si="262"/>
        <v>WOK02</v>
      </c>
      <c r="F846" s="1" t="str">
        <f>"PTM01"</f>
        <v>PTM01</v>
      </c>
      <c r="G846" s="1" t="str">
        <f t="shared" si="267"/>
        <v>DISD</v>
      </c>
      <c r="H846" s="1" t="str">
        <f t="shared" si="268"/>
        <v>REL12</v>
      </c>
      <c r="I846" s="1" t="str">
        <f>""</f>
        <v/>
      </c>
      <c r="J846" s="1" t="str">
        <f t="shared" si="273"/>
        <v>C34C</v>
      </c>
      <c r="K846" s="1" t="str">
        <f t="shared" si="273"/>
        <v>C34C</v>
      </c>
      <c r="L846" s="1" t="str">
        <f t="shared" si="271"/>
        <v>R</v>
      </c>
      <c r="M846" s="1" t="str">
        <f t="shared" si="269"/>
        <v>T01</v>
      </c>
      <c r="N846" s="1" t="str">
        <f t="shared" si="259"/>
        <v>Y</v>
      </c>
      <c r="O846" s="1" t="str">
        <f t="shared" si="257"/>
        <v>Y</v>
      </c>
      <c r="P846" s="1" t="str">
        <f t="shared" si="272"/>
        <v>Y</v>
      </c>
      <c r="Q846" s="1" t="str">
        <f t="shared" si="266"/>
        <v>A</v>
      </c>
    </row>
    <row r="847" spans="1:17" x14ac:dyDescent="0.3">
      <c r="A847" s="1" t="str">
        <f t="shared" si="260"/>
        <v>C2</v>
      </c>
      <c r="B847" s="1" t="str">
        <f>"J0039"</f>
        <v>J0039</v>
      </c>
      <c r="C847" s="1" t="str">
        <f>"철결합능 증가"</f>
        <v>철결합능 증가</v>
      </c>
      <c r="D847" s="1" t="str">
        <f>"혈액검사상 철결합능 증가 관찰됩니다. 추적검사 및 의사상담 받으세요."</f>
        <v>혈액검사상 철결합능 증가 관찰됩니다. 추적검사 및 의사상담 받으세요.</v>
      </c>
      <c r="E847" s="1" t="str">
        <f t="shared" si="262"/>
        <v>WOK02</v>
      </c>
      <c r="F847" s="1" t="str">
        <f>"PTM01"</f>
        <v>PTM01</v>
      </c>
      <c r="G847" s="1" t="str">
        <f t="shared" si="267"/>
        <v>DISD</v>
      </c>
      <c r="H847" s="1" t="str">
        <f t="shared" si="268"/>
        <v>REL12</v>
      </c>
      <c r="I847" s="1" t="str">
        <f>""</f>
        <v/>
      </c>
      <c r="J847" s="1" t="str">
        <f t="shared" si="273"/>
        <v>C34C</v>
      </c>
      <c r="K847" s="1" t="str">
        <f t="shared" si="273"/>
        <v>C34C</v>
      </c>
      <c r="L847" s="1" t="str">
        <f t="shared" si="271"/>
        <v>R</v>
      </c>
      <c r="M847" s="1" t="str">
        <f t="shared" si="269"/>
        <v>T01</v>
      </c>
      <c r="N847" s="1" t="str">
        <f t="shared" si="259"/>
        <v>Y</v>
      </c>
      <c r="O847" s="1" t="str">
        <f t="shared" si="257"/>
        <v>Y</v>
      </c>
      <c r="P847" s="1" t="str">
        <f t="shared" si="272"/>
        <v>Y</v>
      </c>
      <c r="Q847" s="1" t="str">
        <f t="shared" si="266"/>
        <v>A</v>
      </c>
    </row>
    <row r="848" spans="1:17" x14ac:dyDescent="0.3">
      <c r="A848" s="1" t="str">
        <f t="shared" si="260"/>
        <v>C2</v>
      </c>
      <c r="B848" s="1" t="str">
        <f>"J0039H"</f>
        <v>J0039H</v>
      </c>
      <c r="C848" s="1" t="str">
        <f>"철결합능 증가"</f>
        <v>철결합능 증가</v>
      </c>
      <c r="D848" s="1" t="str">
        <f>"혈액검사상 철결합능 증가 관찰됩니다. 하지만 단독적인 수치 증가로는 임상적인 의미를 두기 어렵습니다. 추후 정기검진상 수치 변화를 확인하십시오."</f>
        <v>혈액검사상 철결합능 증가 관찰됩니다. 하지만 단독적인 수치 증가로는 임상적인 의미를 두기 어렵습니다. 추후 정기검진상 수치 변화를 확인하십시오.</v>
      </c>
      <c r="E848" s="1" t="str">
        <f t="shared" si="262"/>
        <v>WOK02</v>
      </c>
      <c r="F848" s="1" t="str">
        <f>"PTM01"</f>
        <v>PTM01</v>
      </c>
      <c r="G848" s="1" t="str">
        <f t="shared" si="267"/>
        <v>DISD</v>
      </c>
      <c r="H848" s="1" t="str">
        <f t="shared" si="268"/>
        <v>REL12</v>
      </c>
      <c r="I848" s="1" t="str">
        <f>""</f>
        <v/>
      </c>
      <c r="J848" s="1" t="str">
        <f t="shared" si="273"/>
        <v>C34C</v>
      </c>
      <c r="K848" s="1" t="str">
        <f t="shared" si="273"/>
        <v>C34C</v>
      </c>
      <c r="L848" s="1" t="str">
        <f t="shared" si="271"/>
        <v>R</v>
      </c>
      <c r="M848" s="1" t="str">
        <f t="shared" si="269"/>
        <v>T01</v>
      </c>
      <c r="N848" s="1" t="str">
        <f t="shared" si="259"/>
        <v>Y</v>
      </c>
      <c r="O848" s="1" t="str">
        <f t="shared" si="257"/>
        <v>Y</v>
      </c>
      <c r="P848" s="1" t="str">
        <f t="shared" si="272"/>
        <v>Y</v>
      </c>
      <c r="Q848" s="1" t="str">
        <f t="shared" si="266"/>
        <v>A</v>
      </c>
    </row>
    <row r="849" spans="1:17" x14ac:dyDescent="0.3">
      <c r="A849" s="1" t="str">
        <f t="shared" si="260"/>
        <v>C2</v>
      </c>
      <c r="B849" s="1" t="str">
        <f>"J0041"</f>
        <v>J0041</v>
      </c>
      <c r="C849" s="1" t="str">
        <f>"(요침사)적혈구증가주의"</f>
        <v>(요침사)적혈구증가주의</v>
      </c>
      <c r="D849" s="1" t="s">
        <v>286</v>
      </c>
      <c r="E849" s="1" t="str">
        <f t="shared" si="262"/>
        <v>WOK02</v>
      </c>
      <c r="F849" s="1" t="str">
        <f>"PTM03"</f>
        <v>PTM03</v>
      </c>
      <c r="G849" s="1" t="str">
        <f>"DISN"</f>
        <v>DISN</v>
      </c>
      <c r="H849" s="1" t="str">
        <f>"REL09"</f>
        <v>REL09</v>
      </c>
      <c r="I849" s="1" t="str">
        <f>""</f>
        <v/>
      </c>
      <c r="J849" s="1" t="str">
        <f>"C44C"</f>
        <v>C44C</v>
      </c>
      <c r="K849" s="1" t="str">
        <f>"C44C"</f>
        <v>C44C</v>
      </c>
      <c r="L849" s="1" t="str">
        <f t="shared" si="271"/>
        <v>R</v>
      </c>
      <c r="M849" s="1" t="str">
        <f>"T05"</f>
        <v>T05</v>
      </c>
      <c r="N849" s="1" t="str">
        <f t="shared" si="259"/>
        <v>Y</v>
      </c>
      <c r="O849" s="1" t="str">
        <f t="shared" si="257"/>
        <v>Y</v>
      </c>
      <c r="P849" s="1" t="str">
        <f t="shared" si="272"/>
        <v>Y</v>
      </c>
      <c r="Q849" s="1" t="str">
        <f t="shared" si="266"/>
        <v>A</v>
      </c>
    </row>
    <row r="850" spans="1:17" x14ac:dyDescent="0.3">
      <c r="A850" s="1" t="str">
        <f t="shared" si="260"/>
        <v>C2</v>
      </c>
      <c r="B850" s="1" t="str">
        <f>"J0042"</f>
        <v>J0042</v>
      </c>
      <c r="C850" s="1" t="str">
        <f>"간 질환주의"</f>
        <v>간 질환주의</v>
      </c>
      <c r="D850" s="1" t="str">
        <f>"간기능 수치 이상소견을 보입니다. 3개월내 추적검사 하세요."</f>
        <v>간기능 수치 이상소견을 보입니다. 3개월내 추적검사 하세요.</v>
      </c>
      <c r="E850" s="1" t="str">
        <f t="shared" si="262"/>
        <v>WOK02</v>
      </c>
      <c r="F850" s="1" t="str">
        <f>"PTM033"</f>
        <v>PTM033</v>
      </c>
      <c r="G850" s="1" t="str">
        <f>"DISK"</f>
        <v>DISK</v>
      </c>
      <c r="H850" s="1" t="str">
        <f>"REL05"</f>
        <v>REL05</v>
      </c>
      <c r="I850" s="1" t="str">
        <f>""</f>
        <v/>
      </c>
      <c r="J850" s="1" t="str">
        <f>"C05C"</f>
        <v>C05C</v>
      </c>
      <c r="K850" s="1" t="str">
        <f>"C05C"</f>
        <v>C05C</v>
      </c>
      <c r="L850" s="1" t="str">
        <f t="shared" si="271"/>
        <v>R</v>
      </c>
      <c r="M850" s="1" t="str">
        <f>"T02"</f>
        <v>T02</v>
      </c>
      <c r="N850" s="1" t="str">
        <f t="shared" si="259"/>
        <v>Y</v>
      </c>
      <c r="O850" s="1" t="str">
        <f t="shared" si="257"/>
        <v>Y</v>
      </c>
      <c r="P850" s="1" t="str">
        <f t="shared" si="272"/>
        <v>Y</v>
      </c>
      <c r="Q850" s="1" t="str">
        <f t="shared" si="266"/>
        <v>A</v>
      </c>
    </row>
    <row r="851" spans="1:17" x14ac:dyDescent="0.3">
      <c r="A851" s="1" t="str">
        <f t="shared" si="260"/>
        <v>C2</v>
      </c>
      <c r="B851" s="1" t="str">
        <f>"J0043"</f>
        <v>J0043</v>
      </c>
      <c r="C851" s="1" t="str">
        <f>"간 질환주의"</f>
        <v>간 질환주의</v>
      </c>
      <c r="D851" s="1" t="str">
        <f>"간기능 수치 이상소견을 보입니다.. 1개월 내 추적검사하세요."</f>
        <v>간기능 수치 이상소견을 보입니다.. 1개월 내 추적검사하세요.</v>
      </c>
      <c r="E851" s="1" t="str">
        <f t="shared" si="262"/>
        <v>WOK02</v>
      </c>
      <c r="F851" s="1" t="str">
        <f>"PTM031"</f>
        <v>PTM031</v>
      </c>
      <c r="G851" s="1" t="str">
        <f>"DISK"</f>
        <v>DISK</v>
      </c>
      <c r="H851" s="1" t="str">
        <f>"REL05"</f>
        <v>REL05</v>
      </c>
      <c r="I851" s="1" t="str">
        <f>""</f>
        <v/>
      </c>
      <c r="J851" s="1" t="str">
        <f>"C05C"</f>
        <v>C05C</v>
      </c>
      <c r="K851" s="1" t="str">
        <f>"C05C"</f>
        <v>C05C</v>
      </c>
      <c r="L851" s="1" t="str">
        <f t="shared" si="271"/>
        <v>R</v>
      </c>
      <c r="M851" s="1" t="str">
        <f>"T02"</f>
        <v>T02</v>
      </c>
      <c r="N851" s="1" t="str">
        <f t="shared" si="259"/>
        <v>Y</v>
      </c>
      <c r="O851" s="1" t="str">
        <f t="shared" si="257"/>
        <v>Y</v>
      </c>
      <c r="P851" s="1" t="str">
        <f t="shared" si="272"/>
        <v>Y</v>
      </c>
      <c r="Q851" s="1" t="str">
        <f t="shared" si="266"/>
        <v>A</v>
      </c>
    </row>
    <row r="852" spans="1:17" x14ac:dyDescent="0.3">
      <c r="A852" s="1" t="str">
        <f t="shared" si="260"/>
        <v>C2</v>
      </c>
      <c r="B852" s="1" t="str">
        <f>"J0052"</f>
        <v>J0052</v>
      </c>
      <c r="C852" s="1" t="str">
        <f>"(요침사)백혈구증가"</f>
        <v>(요침사)백혈구증가</v>
      </c>
      <c r="D852" s="1" t="s">
        <v>287</v>
      </c>
      <c r="E852" s="1" t="str">
        <f t="shared" si="262"/>
        <v>WOK02</v>
      </c>
      <c r="F852" s="1" t="str">
        <f>"PTM03"</f>
        <v>PTM03</v>
      </c>
      <c r="G852" s="1" t="str">
        <f>"DISN"</f>
        <v>DISN</v>
      </c>
      <c r="H852" s="1" t="str">
        <f>"REL09"</f>
        <v>REL09</v>
      </c>
      <c r="I852" s="1" t="str">
        <f>""</f>
        <v/>
      </c>
      <c r="J852" s="1" t="str">
        <f t="shared" ref="J852:K854" si="274">"C44C"</f>
        <v>C44C</v>
      </c>
      <c r="K852" s="1" t="str">
        <f t="shared" si="274"/>
        <v>C44C</v>
      </c>
      <c r="L852" s="1" t="str">
        <f t="shared" si="271"/>
        <v>R</v>
      </c>
      <c r="M852" s="1" t="str">
        <f>"T05"</f>
        <v>T05</v>
      </c>
      <c r="N852" s="1" t="str">
        <f t="shared" si="259"/>
        <v>Y</v>
      </c>
      <c r="O852" s="1" t="str">
        <f t="shared" si="257"/>
        <v>Y</v>
      </c>
      <c r="P852" s="1" t="str">
        <f t="shared" si="272"/>
        <v>Y</v>
      </c>
      <c r="Q852" s="1" t="str">
        <f t="shared" si="266"/>
        <v>A</v>
      </c>
    </row>
    <row r="853" spans="1:17" x14ac:dyDescent="0.3">
      <c r="A853" s="1" t="str">
        <f t="shared" si="260"/>
        <v>C2</v>
      </c>
      <c r="B853" s="1" t="str">
        <f>"J0054"</f>
        <v>J0054</v>
      </c>
      <c r="C853" s="1" t="str">
        <f>"비뇨기계 감염 주의 소견"</f>
        <v>비뇨기계 감염 주의 소견</v>
      </c>
      <c r="D853" s="1" t="str">
        <f>"소변검사에서 비뇨기계 감염을 시사하는 소견이 나타났습니다. 검체 오염 등으로 인한 일시적인 현상일 수 있지만 3개월 후 비뇨기과 내원하여 추적검사 바랍니다."</f>
        <v>소변검사에서 비뇨기계 감염을 시사하는 소견이 나타났습니다. 검체 오염 등으로 인한 일시적인 현상일 수 있지만 3개월 후 비뇨기과 내원하여 추적검사 바랍니다.</v>
      </c>
      <c r="E853" s="1" t="str">
        <f t="shared" si="262"/>
        <v>WOK02</v>
      </c>
      <c r="F853" s="1" t="str">
        <f>"PTM03"</f>
        <v>PTM03</v>
      </c>
      <c r="G853" s="1" t="str">
        <f>"DISN"</f>
        <v>DISN</v>
      </c>
      <c r="H853" s="1" t="str">
        <f>"REL09"</f>
        <v>REL09</v>
      </c>
      <c r="I853" s="1" t="str">
        <f>""</f>
        <v/>
      </c>
      <c r="J853" s="1" t="str">
        <f t="shared" si="274"/>
        <v>C44C</v>
      </c>
      <c r="K853" s="1" t="str">
        <f t="shared" si="274"/>
        <v>C44C</v>
      </c>
      <c r="L853" s="1" t="str">
        <f t="shared" si="271"/>
        <v>R</v>
      </c>
      <c r="M853" s="1" t="str">
        <f>"T05"</f>
        <v>T05</v>
      </c>
      <c r="N853" s="1" t="str">
        <f t="shared" si="259"/>
        <v>Y</v>
      </c>
      <c r="O853" s="1" t="str">
        <f t="shared" si="257"/>
        <v>Y</v>
      </c>
      <c r="P853" s="1" t="str">
        <f t="shared" si="272"/>
        <v>Y</v>
      </c>
      <c r="Q853" s="1" t="str">
        <f t="shared" si="266"/>
        <v>A</v>
      </c>
    </row>
    <row r="854" spans="1:17" x14ac:dyDescent="0.3">
      <c r="A854" s="1" t="str">
        <f t="shared" si="260"/>
        <v>C2</v>
      </c>
      <c r="B854" s="1" t="str">
        <f>"J0055"</f>
        <v>J0055</v>
      </c>
      <c r="C854" s="1" t="str">
        <f>"(요침사)상피세포증가"</f>
        <v>(요침사)상피세포증가</v>
      </c>
      <c r="D854" s="1" t="str">
        <f>"소변채취가 잘못되었거나 검체오염의 가능성이 있기 때문에 결과의 신뢰도가 떨어집니다"</f>
        <v>소변채취가 잘못되었거나 검체오염의 가능성이 있기 때문에 결과의 신뢰도가 떨어집니다</v>
      </c>
      <c r="E854" s="1" t="str">
        <f t="shared" si="262"/>
        <v>WOK02</v>
      </c>
      <c r="F854" s="1" t="str">
        <f>"PTM03"</f>
        <v>PTM03</v>
      </c>
      <c r="G854" s="1" t="str">
        <f>"DISN"</f>
        <v>DISN</v>
      </c>
      <c r="H854" s="1" t="str">
        <f>"REL09"</f>
        <v>REL09</v>
      </c>
      <c r="I854" s="1" t="str">
        <f>""</f>
        <v/>
      </c>
      <c r="J854" s="1" t="str">
        <f t="shared" si="274"/>
        <v>C44C</v>
      </c>
      <c r="K854" s="1" t="str">
        <f t="shared" si="274"/>
        <v>C44C</v>
      </c>
      <c r="L854" s="1" t="str">
        <f t="shared" si="271"/>
        <v>R</v>
      </c>
      <c r="M854" s="1" t="str">
        <f>"T05"</f>
        <v>T05</v>
      </c>
      <c r="N854" s="1" t="str">
        <f t="shared" si="259"/>
        <v>Y</v>
      </c>
      <c r="O854" s="1" t="str">
        <f t="shared" si="257"/>
        <v>Y</v>
      </c>
      <c r="P854" s="1" t="str">
        <f t="shared" si="272"/>
        <v>Y</v>
      </c>
      <c r="Q854" s="1" t="str">
        <f t="shared" si="266"/>
        <v>A</v>
      </c>
    </row>
    <row r="855" spans="1:17" x14ac:dyDescent="0.3">
      <c r="A855" s="1" t="str">
        <f t="shared" si="260"/>
        <v>C2</v>
      </c>
      <c r="B855" s="1" t="str">
        <f>"J0056"</f>
        <v>J0056</v>
      </c>
      <c r="C855" s="1" t="str">
        <f>"적혈구증가증"</f>
        <v>적혈구증가증</v>
      </c>
      <c r="D855" s="1" t="str">
        <f>"적혈구증가에 대한 원인검사 및 치료를 위해 혈액내과 진료를 받으세요."</f>
        <v>적혈구증가에 대한 원인검사 및 치료를 위해 혈액내과 진료를 받으세요.</v>
      </c>
      <c r="E855" s="1" t="str">
        <f t="shared" si="262"/>
        <v>WOK02</v>
      </c>
      <c r="F855" s="1" t="str">
        <f>"PTM033"</f>
        <v>PTM033</v>
      </c>
      <c r="G855" s="1" t="str">
        <f>"DISD"</f>
        <v>DISD</v>
      </c>
      <c r="H855" s="1" t="str">
        <f>"REL12"</f>
        <v>REL12</v>
      </c>
      <c r="I855" s="1" t="str">
        <f>""</f>
        <v/>
      </c>
      <c r="J855" s="1" t="str">
        <f>"C34C"</f>
        <v>C34C</v>
      </c>
      <c r="K855" s="1" t="str">
        <f>"C34C"</f>
        <v>C34C</v>
      </c>
      <c r="L855" s="1" t="str">
        <f t="shared" si="271"/>
        <v>R</v>
      </c>
      <c r="M855" s="1" t="str">
        <f>"T01"</f>
        <v>T01</v>
      </c>
      <c r="N855" s="1" t="str">
        <f t="shared" si="259"/>
        <v>Y</v>
      </c>
      <c r="O855" s="1" t="str">
        <f t="shared" si="257"/>
        <v>Y</v>
      </c>
      <c r="P855" s="1" t="str">
        <f t="shared" si="272"/>
        <v>Y</v>
      </c>
      <c r="Q855" s="1" t="str">
        <f t="shared" si="266"/>
        <v>A</v>
      </c>
    </row>
    <row r="856" spans="1:17" x14ac:dyDescent="0.3">
      <c r="A856" s="1" t="str">
        <f t="shared" si="260"/>
        <v>C2</v>
      </c>
      <c r="B856" s="1" t="str">
        <f>"J00588"</f>
        <v>J00588</v>
      </c>
      <c r="C856" s="1" t="str">
        <f>"약양성(C형간염의심)"</f>
        <v>약양성(C형간염의심)</v>
      </c>
      <c r="D856" s="1" t="str">
        <f>"C형간염 항체가 약양성으로 나타나 C형간염이 의심됩니다. 확진검사 및 치료방침 결정을 위해 소화기내과 진료를 받으시기 바랍니다."</f>
        <v>C형간염 항체가 약양성으로 나타나 C형간염이 의심됩니다. 확진검사 및 치료방침 결정을 위해 소화기내과 진료를 받으시기 바랍니다.</v>
      </c>
      <c r="E856" s="1" t="str">
        <f t="shared" si="262"/>
        <v>WOK02</v>
      </c>
      <c r="F856" s="1" t="str">
        <f>""</f>
        <v/>
      </c>
      <c r="G856" s="1" t="str">
        <f>"DISB"</f>
        <v>DISB</v>
      </c>
      <c r="H856" s="1" t="str">
        <f>"REL05"</f>
        <v>REL05</v>
      </c>
      <c r="I856" s="1" t="str">
        <f>""</f>
        <v/>
      </c>
      <c r="J856" s="1" t="str">
        <f>"C30C"</f>
        <v>C30C</v>
      </c>
      <c r="K856" s="1" t="str">
        <f>"C30C"</f>
        <v>C30C</v>
      </c>
      <c r="L856" s="1" t="str">
        <f t="shared" si="271"/>
        <v>R</v>
      </c>
      <c r="M856" s="1" t="str">
        <f>"T02"</f>
        <v>T02</v>
      </c>
      <c r="N856" s="1" t="str">
        <f t="shared" si="259"/>
        <v>Y</v>
      </c>
      <c r="O856" s="1" t="str">
        <f t="shared" si="257"/>
        <v>Y</v>
      </c>
      <c r="P856" s="1" t="str">
        <f t="shared" si="272"/>
        <v>Y</v>
      </c>
      <c r="Q856" s="1" t="str">
        <f t="shared" si="266"/>
        <v>A</v>
      </c>
    </row>
    <row r="857" spans="1:17" x14ac:dyDescent="0.3">
      <c r="A857" s="1" t="str">
        <f t="shared" si="260"/>
        <v>C2</v>
      </c>
      <c r="B857" s="1" t="str">
        <f>"J0059"</f>
        <v>J0059</v>
      </c>
      <c r="C857" s="1" t="str">
        <f>"좌심실비대의증"</f>
        <v>좌심실비대의증</v>
      </c>
      <c r="D857" s="1" t="str">
        <f>"심전도상 좌심실 비대 의심됩니다. 추적검사 하십시요"</f>
        <v>심전도상 좌심실 비대 의심됩니다. 추적검사 하십시요</v>
      </c>
      <c r="E857" s="1" t="str">
        <f t="shared" si="262"/>
        <v>WOK02</v>
      </c>
      <c r="F857" s="1" t="str">
        <f>"PTM03"</f>
        <v>PTM03</v>
      </c>
      <c r="G857" s="1" t="str">
        <f>"DISI"</f>
        <v>DISI</v>
      </c>
      <c r="H857" s="1" t="str">
        <f>"REL06"</f>
        <v>REL06</v>
      </c>
      <c r="I857" s="1" t="str">
        <f>""</f>
        <v/>
      </c>
      <c r="J857" s="1" t="str">
        <f>"C39C"</f>
        <v>C39C</v>
      </c>
      <c r="K857" s="1" t="str">
        <f>"C39C"</f>
        <v>C39C</v>
      </c>
      <c r="L857" s="1" t="str">
        <f t="shared" si="271"/>
        <v>R</v>
      </c>
      <c r="M857" s="1" t="str">
        <f>"T03"</f>
        <v>T03</v>
      </c>
      <c r="N857" s="1" t="str">
        <f t="shared" si="259"/>
        <v>Y</v>
      </c>
      <c r="O857" s="1" t="str">
        <f t="shared" ref="O857:O869" si="275">"Y"</f>
        <v>Y</v>
      </c>
      <c r="P857" s="1" t="str">
        <f t="shared" si="272"/>
        <v>Y</v>
      </c>
      <c r="Q857" s="1" t="str">
        <f t="shared" si="266"/>
        <v>A</v>
      </c>
    </row>
    <row r="858" spans="1:17" x14ac:dyDescent="0.3">
      <c r="A858" s="1" t="str">
        <f t="shared" si="260"/>
        <v>C2</v>
      </c>
      <c r="B858" s="1" t="str">
        <f>"J0061"</f>
        <v>J0061</v>
      </c>
      <c r="C858" s="1" t="str">
        <f>"알칼리성뇨주의"</f>
        <v>알칼리성뇨주의</v>
      </c>
      <c r="D858" s="1" t="s">
        <v>288</v>
      </c>
      <c r="E858" s="1" t="str">
        <f t="shared" si="262"/>
        <v>WOK02</v>
      </c>
      <c r="F858" s="1" t="str">
        <f>"PTM03"</f>
        <v>PTM03</v>
      </c>
      <c r="G858" s="1" t="str">
        <f>"DISN"</f>
        <v>DISN</v>
      </c>
      <c r="H858" s="1" t="str">
        <f>"REL09"</f>
        <v>REL09</v>
      </c>
      <c r="I858" s="1" t="str">
        <f>""</f>
        <v/>
      </c>
      <c r="J858" s="1" t="str">
        <f>"C44C"</f>
        <v>C44C</v>
      </c>
      <c r="K858" s="1" t="str">
        <f>"C44C"</f>
        <v>C44C</v>
      </c>
      <c r="L858" s="1" t="str">
        <f t="shared" si="271"/>
        <v>R</v>
      </c>
      <c r="M858" s="1" t="str">
        <f>"T05"</f>
        <v>T05</v>
      </c>
      <c r="N858" s="1" t="str">
        <f t="shared" si="259"/>
        <v>Y</v>
      </c>
      <c r="O858" s="1" t="str">
        <f t="shared" si="275"/>
        <v>Y</v>
      </c>
      <c r="P858" s="1" t="str">
        <f t="shared" si="272"/>
        <v>Y</v>
      </c>
      <c r="Q858" s="1" t="str">
        <f t="shared" si="266"/>
        <v>A</v>
      </c>
    </row>
    <row r="859" spans="1:17" x14ac:dyDescent="0.3">
      <c r="A859" s="1" t="str">
        <f t="shared" si="260"/>
        <v>C2</v>
      </c>
      <c r="B859" s="1" t="str">
        <f>"J0079"</f>
        <v>J0079</v>
      </c>
      <c r="C859" s="1" t="str">
        <f>"퇴행성 요추변화"</f>
        <v>퇴행성 요추변화</v>
      </c>
      <c r="D859" s="1" t="s">
        <v>289</v>
      </c>
      <c r="E859" s="1" t="str">
        <f t="shared" si="262"/>
        <v>WOK02</v>
      </c>
      <c r="F859" s="1" t="str">
        <f t="shared" ref="F859:F867" si="276">"PTM01"</f>
        <v>PTM01</v>
      </c>
      <c r="G859" s="1" t="str">
        <f>"DISM"</f>
        <v>DISM</v>
      </c>
      <c r="H859" s="1" t="str">
        <f>"REL22"</f>
        <v>REL22</v>
      </c>
      <c r="I859" s="1" t="str">
        <f>""</f>
        <v/>
      </c>
      <c r="J859" s="1" t="str">
        <f>"C43C"</f>
        <v>C43C</v>
      </c>
      <c r="K859" s="1" t="str">
        <f>"C43C"</f>
        <v>C43C</v>
      </c>
      <c r="L859" s="1" t="str">
        <f t="shared" si="271"/>
        <v>R</v>
      </c>
      <c r="M859" s="1" t="str">
        <f>""</f>
        <v/>
      </c>
      <c r="N859" s="1" t="str">
        <f t="shared" si="259"/>
        <v>Y</v>
      </c>
      <c r="O859" s="1" t="str">
        <f t="shared" si="275"/>
        <v>Y</v>
      </c>
      <c r="P859" s="1" t="str">
        <f t="shared" si="272"/>
        <v>Y</v>
      </c>
      <c r="Q859" s="1" t="str">
        <f t="shared" si="266"/>
        <v>A</v>
      </c>
    </row>
    <row r="860" spans="1:17" x14ac:dyDescent="0.3">
      <c r="A860" s="1" t="str">
        <f t="shared" si="260"/>
        <v>C2</v>
      </c>
      <c r="B860" s="1" t="str">
        <f>"J00912T"</f>
        <v>J00912T</v>
      </c>
      <c r="C860" s="1" t="str">
        <f>"흉부방사선검사 진단미정"</f>
        <v>흉부방사선검사 진단미정</v>
      </c>
      <c r="D860" s="1" t="str">
        <f>"정확한 진단을 위해 호흡기 내과 진료를 받아보시기 바랍니다."</f>
        <v>정확한 진단을 위해 호흡기 내과 진료를 받아보시기 바랍니다.</v>
      </c>
      <c r="E860" s="1" t="str">
        <f t="shared" si="262"/>
        <v>WOK02</v>
      </c>
      <c r="F860" s="1" t="str">
        <f t="shared" si="276"/>
        <v>PTM01</v>
      </c>
      <c r="G860" s="1" t="str">
        <f>"DISJ"</f>
        <v>DISJ</v>
      </c>
      <c r="H860" s="1" t="str">
        <f>""</f>
        <v/>
      </c>
      <c r="I860" s="1" t="str">
        <f>""</f>
        <v/>
      </c>
      <c r="J860" s="1" t="str">
        <f>"C30C"</f>
        <v>C30C</v>
      </c>
      <c r="K860" s="1" t="str">
        <f>"C30D"</f>
        <v>C30D</v>
      </c>
      <c r="L860" s="1" t="str">
        <f t="shared" si="271"/>
        <v>R</v>
      </c>
      <c r="M860" s="1" t="str">
        <f>"T04"</f>
        <v>T04</v>
      </c>
      <c r="N860" s="1" t="str">
        <f t="shared" ref="N860:N923" si="277">"Y"</f>
        <v>Y</v>
      </c>
      <c r="O860" s="1" t="str">
        <f t="shared" si="275"/>
        <v>Y</v>
      </c>
      <c r="P860" s="1" t="str">
        <f t="shared" si="272"/>
        <v>Y</v>
      </c>
      <c r="Q860" s="1" t="str">
        <f t="shared" si="266"/>
        <v>A</v>
      </c>
    </row>
    <row r="861" spans="1:17" x14ac:dyDescent="0.3">
      <c r="A861" s="1" t="str">
        <f t="shared" si="260"/>
        <v>C2</v>
      </c>
      <c r="B861" s="1" t="str">
        <f>"J00913"</f>
        <v>J00913</v>
      </c>
      <c r="C861" s="1" t="str">
        <f>"비결핵성질환"</f>
        <v>비결핵성질환</v>
      </c>
      <c r="D861" s="1" t="str">
        <f>"흉부 방사선 검사 이상 소견 - 정확한 진단을 위해 호흡기 내과 진료를 받아보시기 바랍니다."</f>
        <v>흉부 방사선 검사 이상 소견 - 정확한 진단을 위해 호흡기 내과 진료를 받아보시기 바랍니다.</v>
      </c>
      <c r="E861" s="1" t="str">
        <f t="shared" si="262"/>
        <v>WOK02</v>
      </c>
      <c r="F861" s="1" t="str">
        <f t="shared" si="276"/>
        <v>PTM01</v>
      </c>
      <c r="G861" s="1" t="str">
        <f>"DISJ"</f>
        <v>DISJ</v>
      </c>
      <c r="H861" s="1" t="str">
        <f>"REL02"</f>
        <v>REL02</v>
      </c>
      <c r="I861" s="1" t="str">
        <f>""</f>
        <v/>
      </c>
      <c r="J861" s="1" t="str">
        <f>"C02R"</f>
        <v>C02R</v>
      </c>
      <c r="K861" s="1" t="str">
        <f>"C02R"</f>
        <v>C02R</v>
      </c>
      <c r="L861" s="1" t="str">
        <f t="shared" si="271"/>
        <v>R</v>
      </c>
      <c r="M861" s="1" t="str">
        <f>"T04"</f>
        <v>T04</v>
      </c>
      <c r="N861" s="1" t="str">
        <f t="shared" si="277"/>
        <v>Y</v>
      </c>
      <c r="O861" s="1" t="str">
        <f t="shared" si="275"/>
        <v>Y</v>
      </c>
      <c r="P861" s="1" t="str">
        <f t="shared" si="272"/>
        <v>Y</v>
      </c>
      <c r="Q861" s="1" t="str">
        <f t="shared" si="266"/>
        <v>A</v>
      </c>
    </row>
    <row r="862" spans="1:17" x14ac:dyDescent="0.3">
      <c r="A862" s="1" t="str">
        <f t="shared" si="260"/>
        <v>C2</v>
      </c>
      <c r="B862" s="1" t="str">
        <f>"J00913H"</f>
        <v>J00913H</v>
      </c>
      <c r="C862" s="1" t="str">
        <f>"비결핵성질환"</f>
        <v>비결핵성질환</v>
      </c>
      <c r="D862" s="1" t="str">
        <f>"흉부 방사선 검사 이상 소견 - 정확한 진단을 위해 호흡기 내과 진료를 받아보시기 바랍니다."</f>
        <v>흉부 방사선 검사 이상 소견 - 정확한 진단을 위해 호흡기 내과 진료를 받아보시기 바랍니다.</v>
      </c>
      <c r="E862" s="1" t="str">
        <f t="shared" si="262"/>
        <v>WOK02</v>
      </c>
      <c r="F862" s="1" t="str">
        <f t="shared" si="276"/>
        <v>PTM01</v>
      </c>
      <c r="G862" s="1" t="str">
        <f>"DISJ"</f>
        <v>DISJ</v>
      </c>
      <c r="H862" s="1" t="str">
        <f>"REL02"</f>
        <v>REL02</v>
      </c>
      <c r="I862" s="1" t="str">
        <f>""</f>
        <v/>
      </c>
      <c r="J862" s="1" t="str">
        <f>"C02R"</f>
        <v>C02R</v>
      </c>
      <c r="K862" s="1" t="str">
        <f>"C02R"</f>
        <v>C02R</v>
      </c>
      <c r="L862" s="1" t="str">
        <f t="shared" si="271"/>
        <v>R</v>
      </c>
      <c r="M862" s="1" t="str">
        <f>"T04"</f>
        <v>T04</v>
      </c>
      <c r="N862" s="1" t="str">
        <f t="shared" si="277"/>
        <v>Y</v>
      </c>
      <c r="O862" s="1" t="str">
        <f t="shared" si="275"/>
        <v>Y</v>
      </c>
      <c r="P862" s="1" t="str">
        <f t="shared" si="272"/>
        <v>Y</v>
      </c>
      <c r="Q862" s="1" t="str">
        <f t="shared" si="266"/>
        <v>A</v>
      </c>
    </row>
    <row r="863" spans="1:17" x14ac:dyDescent="0.3">
      <c r="A863" s="1" t="str">
        <f t="shared" si="260"/>
        <v>C2</v>
      </c>
      <c r="B863" s="1" t="str">
        <f>"J0091T"</f>
        <v>J0091T</v>
      </c>
      <c r="C863" s="1" t="str">
        <f>"흉부질환 주의"</f>
        <v>흉부질환 주의</v>
      </c>
      <c r="D863" s="1" t="str">
        <f>"정확한 진단을 위해 호흡기 내과 진료를 받아보시기 바랍니다."</f>
        <v>정확한 진단을 위해 호흡기 내과 진료를 받아보시기 바랍니다.</v>
      </c>
      <c r="E863" s="1" t="str">
        <f t="shared" si="262"/>
        <v>WOK02</v>
      </c>
      <c r="F863" s="1" t="str">
        <f t="shared" si="276"/>
        <v>PTM01</v>
      </c>
      <c r="G863" s="1" t="str">
        <f>"DISJ"</f>
        <v>DISJ</v>
      </c>
      <c r="H863" s="1" t="str">
        <f>"REL02"</f>
        <v>REL02</v>
      </c>
      <c r="I863" s="1" t="str">
        <f>""</f>
        <v/>
      </c>
      <c r="J863" s="1" t="str">
        <f>"C02C"</f>
        <v>C02C</v>
      </c>
      <c r="K863" s="1" t="str">
        <f>"C02C"</f>
        <v>C02C</v>
      </c>
      <c r="L863" s="1" t="str">
        <f t="shared" si="271"/>
        <v>R</v>
      </c>
      <c r="M863" s="1" t="str">
        <f>"T04"</f>
        <v>T04</v>
      </c>
      <c r="N863" s="1" t="str">
        <f t="shared" si="277"/>
        <v>Y</v>
      </c>
      <c r="O863" s="1" t="str">
        <f t="shared" si="275"/>
        <v>Y</v>
      </c>
      <c r="P863" s="1" t="str">
        <f t="shared" si="272"/>
        <v>Y</v>
      </c>
      <c r="Q863" s="1" t="str">
        <f t="shared" si="266"/>
        <v>A</v>
      </c>
    </row>
    <row r="864" spans="1:17" x14ac:dyDescent="0.3">
      <c r="A864" s="1" t="str">
        <f t="shared" ref="A864:A927" si="278">"C2"</f>
        <v>C2</v>
      </c>
      <c r="B864" s="1" t="str">
        <f>"J0095"</f>
        <v>J0095</v>
      </c>
      <c r="C864" s="1" t="str">
        <f>"기타 척추 이상"</f>
        <v>기타 척추 이상</v>
      </c>
      <c r="D864" s="1" t="str">
        <f>"중량물 취급 시 주의 하세요."</f>
        <v>중량물 취급 시 주의 하세요.</v>
      </c>
      <c r="E864" s="1" t="str">
        <f t="shared" si="262"/>
        <v>WOK02</v>
      </c>
      <c r="F864" s="1" t="str">
        <f t="shared" si="276"/>
        <v>PTM01</v>
      </c>
      <c r="G864" s="1" t="str">
        <f>""</f>
        <v/>
      </c>
      <c r="H864" s="1" t="str">
        <f>"REL22"</f>
        <v>REL22</v>
      </c>
      <c r="I864" s="1" t="str">
        <f>""</f>
        <v/>
      </c>
      <c r="J864" s="1" t="str">
        <f>"C43C"</f>
        <v>C43C</v>
      </c>
      <c r="K864" s="1" t="str">
        <f>"C43C"</f>
        <v>C43C</v>
      </c>
      <c r="L864" s="1" t="str">
        <f t="shared" si="271"/>
        <v>R</v>
      </c>
      <c r="M864" s="1" t="str">
        <f>""</f>
        <v/>
      </c>
      <c r="N864" s="1" t="str">
        <f t="shared" si="277"/>
        <v>Y</v>
      </c>
      <c r="O864" s="1" t="str">
        <f t="shared" si="275"/>
        <v>Y</v>
      </c>
      <c r="P864" s="1" t="str">
        <f t="shared" si="272"/>
        <v>Y</v>
      </c>
      <c r="Q864" s="1" t="str">
        <f t="shared" si="266"/>
        <v>A</v>
      </c>
    </row>
    <row r="865" spans="1:17" x14ac:dyDescent="0.3">
      <c r="A865" s="1" t="str">
        <f t="shared" si="278"/>
        <v>C2</v>
      </c>
      <c r="B865" s="1" t="str">
        <f>"J0102"</f>
        <v>J0102</v>
      </c>
      <c r="C865" s="1" t="str">
        <f>"폐쇄성 폐기능 저하"</f>
        <v>폐쇄성 폐기능 저하</v>
      </c>
      <c r="D865" s="1" t="str">
        <f>"폐쇄성 폐기능 저하 소견을 보이나 이차검사에 이상 소견은 없습니다. 금연하시고 보호구를 잘 착용하시고 정기적으로 확인하세요."</f>
        <v>폐쇄성 폐기능 저하 소견을 보이나 이차검사에 이상 소견은 없습니다. 금연하시고 보호구를 잘 착용하시고 정기적으로 확인하세요.</v>
      </c>
      <c r="E865" s="1" t="str">
        <f t="shared" si="262"/>
        <v>WOK02</v>
      </c>
      <c r="F865" s="1" t="str">
        <f t="shared" si="276"/>
        <v>PTM01</v>
      </c>
      <c r="G865" s="1" t="str">
        <f>"DISJ"</f>
        <v>DISJ</v>
      </c>
      <c r="H865" s="1" t="str">
        <f>"REL02"</f>
        <v>REL02</v>
      </c>
      <c r="I865" s="1" t="str">
        <f>""</f>
        <v/>
      </c>
      <c r="J865" s="1" t="str">
        <f t="shared" ref="J865:K869" si="279">"C40C"</f>
        <v>C40C</v>
      </c>
      <c r="K865" s="1" t="str">
        <f t="shared" si="279"/>
        <v>C40C</v>
      </c>
      <c r="L865" s="1" t="str">
        <f t="shared" si="271"/>
        <v>R</v>
      </c>
      <c r="M865" s="1" t="str">
        <f t="shared" ref="M865:M870" si="280">"T04"</f>
        <v>T04</v>
      </c>
      <c r="N865" s="1" t="str">
        <f t="shared" si="277"/>
        <v>Y</v>
      </c>
      <c r="O865" s="1" t="str">
        <f t="shared" si="275"/>
        <v>Y</v>
      </c>
      <c r="P865" s="1" t="str">
        <f t="shared" si="272"/>
        <v>Y</v>
      </c>
      <c r="Q865" s="1" t="str">
        <f t="shared" si="266"/>
        <v>A</v>
      </c>
    </row>
    <row r="866" spans="1:17" x14ac:dyDescent="0.3">
      <c r="A866" s="1" t="str">
        <f t="shared" si="278"/>
        <v>C2</v>
      </c>
      <c r="B866" s="1" t="str">
        <f>"J01021"</f>
        <v>J01021</v>
      </c>
      <c r="C866" s="1" t="str">
        <f>"제한성 폐환기능 장애"</f>
        <v>제한성 폐환기능 장애</v>
      </c>
      <c r="D866" s="1" t="str">
        <f>"제한성 폐기능 저하 소견을 보이나 다른 검사결과를 참고할 때 특이 소견은 없습니다. 금연하시고 보호구를 잘 착용하시고 정기적으로 확인하세요."</f>
        <v>제한성 폐기능 저하 소견을 보이나 다른 검사결과를 참고할 때 특이 소견은 없습니다. 금연하시고 보호구를 잘 착용하시고 정기적으로 확인하세요.</v>
      </c>
      <c r="E866" s="1" t="str">
        <f t="shared" si="262"/>
        <v>WOK02</v>
      </c>
      <c r="F866" s="1" t="str">
        <f t="shared" si="276"/>
        <v>PTM01</v>
      </c>
      <c r="G866" s="1" t="str">
        <f>"DISJ"</f>
        <v>DISJ</v>
      </c>
      <c r="H866" s="1" t="str">
        <f>"REL02"</f>
        <v>REL02</v>
      </c>
      <c r="I866" s="1" t="str">
        <f>""</f>
        <v/>
      </c>
      <c r="J866" s="1" t="str">
        <f t="shared" si="279"/>
        <v>C40C</v>
      </c>
      <c r="K866" s="1" t="str">
        <f t="shared" si="279"/>
        <v>C40C</v>
      </c>
      <c r="L866" s="1" t="str">
        <f t="shared" si="271"/>
        <v>R</v>
      </c>
      <c r="M866" s="1" t="str">
        <f t="shared" si="280"/>
        <v>T04</v>
      </c>
      <c r="N866" s="1" t="str">
        <f t="shared" si="277"/>
        <v>Y</v>
      </c>
      <c r="O866" s="1" t="str">
        <f t="shared" si="275"/>
        <v>Y</v>
      </c>
      <c r="P866" s="1" t="str">
        <f t="shared" si="272"/>
        <v>Y</v>
      </c>
      <c r="Q866" s="1" t="str">
        <f t="shared" si="266"/>
        <v>A</v>
      </c>
    </row>
    <row r="867" spans="1:17" x14ac:dyDescent="0.3">
      <c r="A867" s="1" t="str">
        <f t="shared" si="278"/>
        <v>C2</v>
      </c>
      <c r="B867" s="1" t="str">
        <f>"J01022"</f>
        <v>J01022</v>
      </c>
      <c r="C867" s="1" t="str">
        <f>"경도의 혼합성 폐환기능 장애"</f>
        <v>경도의 혼합성 폐환기능 장애</v>
      </c>
      <c r="D867" s="1" t="s">
        <v>290</v>
      </c>
      <c r="E867" s="1" t="str">
        <f t="shared" si="262"/>
        <v>WOK02</v>
      </c>
      <c r="F867" s="1" t="str">
        <f t="shared" si="276"/>
        <v>PTM01</v>
      </c>
      <c r="G867" s="1" t="str">
        <f>"DISJ"</f>
        <v>DISJ</v>
      </c>
      <c r="H867" s="1" t="str">
        <f>"REL02"</f>
        <v>REL02</v>
      </c>
      <c r="I867" s="1" t="str">
        <f>""</f>
        <v/>
      </c>
      <c r="J867" s="1" t="str">
        <f t="shared" si="279"/>
        <v>C40C</v>
      </c>
      <c r="K867" s="1" t="str">
        <f t="shared" si="279"/>
        <v>C40C</v>
      </c>
      <c r="L867" s="1" t="str">
        <f t="shared" si="271"/>
        <v>R</v>
      </c>
      <c r="M867" s="1" t="str">
        <f t="shared" si="280"/>
        <v>T04</v>
      </c>
      <c r="N867" s="1" t="str">
        <f t="shared" si="277"/>
        <v>Y</v>
      </c>
      <c r="O867" s="1" t="str">
        <f t="shared" si="275"/>
        <v>Y</v>
      </c>
      <c r="P867" s="1" t="str">
        <f t="shared" si="272"/>
        <v>Y</v>
      </c>
      <c r="Q867" s="1" t="str">
        <f t="shared" si="266"/>
        <v>A</v>
      </c>
    </row>
    <row r="868" spans="1:17" x14ac:dyDescent="0.3">
      <c r="A868" s="1" t="str">
        <f t="shared" si="278"/>
        <v>C2</v>
      </c>
      <c r="B868" s="1" t="str">
        <f>"J01022L"</f>
        <v>J01022L</v>
      </c>
      <c r="C868" s="1" t="str">
        <f>"경도의 혼합성 폐환기능 장애 (2차)"</f>
        <v>경도의 혼합성 폐환기능 장애 (2차)</v>
      </c>
      <c r="D868" s="1" t="s">
        <v>290</v>
      </c>
      <c r="E868" s="1" t="str">
        <f t="shared" si="262"/>
        <v>WOK02</v>
      </c>
      <c r="F868" s="1" t="str">
        <f>"PTM02"</f>
        <v>PTM02</v>
      </c>
      <c r="G868" s="1" t="str">
        <f>"DISJ"</f>
        <v>DISJ</v>
      </c>
      <c r="H868" s="1" t="str">
        <f>"REL02"</f>
        <v>REL02</v>
      </c>
      <c r="I868" s="1" t="str">
        <f>""</f>
        <v/>
      </c>
      <c r="J868" s="1" t="str">
        <f t="shared" si="279"/>
        <v>C40C</v>
      </c>
      <c r="K868" s="1" t="str">
        <f t="shared" si="279"/>
        <v>C40C</v>
      </c>
      <c r="L868" s="1" t="str">
        <f t="shared" si="271"/>
        <v>R</v>
      </c>
      <c r="M868" s="1" t="str">
        <f t="shared" si="280"/>
        <v>T04</v>
      </c>
      <c r="N868" s="1" t="str">
        <f t="shared" si="277"/>
        <v>Y</v>
      </c>
      <c r="O868" s="1" t="str">
        <f t="shared" si="275"/>
        <v>Y</v>
      </c>
      <c r="P868" s="1" t="str">
        <f t="shared" si="272"/>
        <v>Y</v>
      </c>
      <c r="Q868" s="1" t="str">
        <f t="shared" si="266"/>
        <v>A</v>
      </c>
    </row>
    <row r="869" spans="1:17" x14ac:dyDescent="0.3">
      <c r="A869" s="1" t="str">
        <f t="shared" si="278"/>
        <v>C2</v>
      </c>
      <c r="B869" s="1" t="str">
        <f>"J01024"</f>
        <v>J01024</v>
      </c>
      <c r="C869" s="1" t="str">
        <f>"폐쇄성 폐환기능 저하"</f>
        <v>폐쇄성 폐환기능 저하</v>
      </c>
      <c r="D869" s="1" t="str">
        <f>"경미한 폐쇄성 기능저하소견을 보이나 다른 검사결과에 특이소견은 없습니다. 보호구를 잘 착용하시고 정기적으로 확인하세요."</f>
        <v>경미한 폐쇄성 기능저하소견을 보이나 다른 검사결과에 특이소견은 없습니다. 보호구를 잘 착용하시고 정기적으로 확인하세요.</v>
      </c>
      <c r="E869" s="1" t="str">
        <f t="shared" si="262"/>
        <v>WOK02</v>
      </c>
      <c r="F869" s="1" t="str">
        <f>"PTM01"</f>
        <v>PTM01</v>
      </c>
      <c r="G869" s="1" t="str">
        <f>"DISJ"</f>
        <v>DISJ</v>
      </c>
      <c r="H869" s="1" t="str">
        <f>"REL02"</f>
        <v>REL02</v>
      </c>
      <c r="I869" s="1" t="str">
        <f>""</f>
        <v/>
      </c>
      <c r="J869" s="1" t="str">
        <f t="shared" si="279"/>
        <v>C40C</v>
      </c>
      <c r="K869" s="1" t="str">
        <f t="shared" si="279"/>
        <v>C40C</v>
      </c>
      <c r="L869" s="1" t="str">
        <f t="shared" si="271"/>
        <v>R</v>
      </c>
      <c r="M869" s="1" t="str">
        <f t="shared" si="280"/>
        <v>T04</v>
      </c>
      <c r="N869" s="1" t="str">
        <f t="shared" si="277"/>
        <v>Y</v>
      </c>
      <c r="O869" s="1" t="str">
        <f t="shared" si="275"/>
        <v>Y</v>
      </c>
      <c r="P869" s="1" t="str">
        <f t="shared" si="272"/>
        <v>Y</v>
      </c>
      <c r="Q869" s="1" t="str">
        <f t="shared" ref="Q869:Q888" si="281">"A"</f>
        <v>A</v>
      </c>
    </row>
    <row r="870" spans="1:17" x14ac:dyDescent="0.3">
      <c r="A870" s="1" t="str">
        <f t="shared" si="278"/>
        <v>C2</v>
      </c>
      <c r="B870" s="1" t="str">
        <f>"J0117"</f>
        <v>J0117</v>
      </c>
      <c r="C870" s="1" t="str">
        <f>"편도비대"</f>
        <v>편도비대</v>
      </c>
      <c r="D870" s="1" t="s">
        <v>291</v>
      </c>
      <c r="E870" s="1" t="str">
        <f t="shared" si="262"/>
        <v>WOK02</v>
      </c>
      <c r="F870" s="1" t="str">
        <f>"PTM03"</f>
        <v>PTM03</v>
      </c>
      <c r="G870" s="1" t="str">
        <f>"DISE"</f>
        <v>DISE</v>
      </c>
      <c r="H870" s="1" t="str">
        <f>"REL23"</f>
        <v>REL23</v>
      </c>
      <c r="I870" s="1" t="str">
        <f>""</f>
        <v/>
      </c>
      <c r="J870" s="1" t="str">
        <f>""</f>
        <v/>
      </c>
      <c r="K870" s="1" t="str">
        <f>""</f>
        <v/>
      </c>
      <c r="L870" s="1" t="str">
        <f t="shared" si="271"/>
        <v>R</v>
      </c>
      <c r="M870" s="1" t="str">
        <f t="shared" si="280"/>
        <v>T04</v>
      </c>
      <c r="N870" s="1" t="str">
        <f t="shared" si="277"/>
        <v>Y</v>
      </c>
      <c r="O870" s="1" t="str">
        <f>"N"</f>
        <v>N</v>
      </c>
      <c r="P870" s="1" t="str">
        <f t="shared" si="272"/>
        <v>Y</v>
      </c>
      <c r="Q870" s="1" t="str">
        <f t="shared" si="281"/>
        <v>A</v>
      </c>
    </row>
    <row r="871" spans="1:17" x14ac:dyDescent="0.3">
      <c r="A871" s="1" t="str">
        <f t="shared" si="278"/>
        <v>C2</v>
      </c>
      <c r="B871" s="1" t="str">
        <f>"J0121"</f>
        <v>J0121</v>
      </c>
      <c r="C871" s="1" t="str">
        <f>"혈소판 감소"</f>
        <v>혈소판 감소</v>
      </c>
      <c r="D871" s="1" t="s">
        <v>292</v>
      </c>
      <c r="E871" s="1" t="str">
        <f t="shared" si="262"/>
        <v>WOK02</v>
      </c>
      <c r="F871" s="1" t="str">
        <f>"PTM03"</f>
        <v>PTM03</v>
      </c>
      <c r="G871" s="1" t="str">
        <f>"DISD"</f>
        <v>DISD</v>
      </c>
      <c r="H871" s="1" t="str">
        <f>"REL12"</f>
        <v>REL12</v>
      </c>
      <c r="I871" s="1" t="str">
        <f>""</f>
        <v/>
      </c>
      <c r="J871" s="1" t="str">
        <f t="shared" ref="J871:K873" si="282">"C34C"</f>
        <v>C34C</v>
      </c>
      <c r="K871" s="1" t="str">
        <f t="shared" si="282"/>
        <v>C34C</v>
      </c>
      <c r="L871" s="1" t="str">
        <f t="shared" si="271"/>
        <v>R</v>
      </c>
      <c r="M871" s="1" t="str">
        <f>"T01"</f>
        <v>T01</v>
      </c>
      <c r="N871" s="1" t="str">
        <f t="shared" si="277"/>
        <v>Y</v>
      </c>
      <c r="O871" s="1" t="str">
        <f t="shared" ref="O871:O902" si="283">"Y"</f>
        <v>Y</v>
      </c>
      <c r="P871" s="1" t="str">
        <f t="shared" si="272"/>
        <v>Y</v>
      </c>
      <c r="Q871" s="1" t="str">
        <f t="shared" si="281"/>
        <v>A</v>
      </c>
    </row>
    <row r="872" spans="1:17" x14ac:dyDescent="0.3">
      <c r="A872" s="1" t="str">
        <f t="shared" si="278"/>
        <v>C2</v>
      </c>
      <c r="B872" s="1" t="str">
        <f>"J0125"</f>
        <v>J0125</v>
      </c>
      <c r="C872" s="1" t="str">
        <f>"경미한 백혈구 증가"</f>
        <v>경미한 백혈구 증가</v>
      </c>
      <c r="D872" s="1" t="str">
        <f>"백혈구 수가 경미하게 증가했습니다. 염증 등에 의해 일시적으로 증가할 수 있습니다. 발열 등의 증상이 없다면 추적관찰 바랍니다."</f>
        <v>백혈구 수가 경미하게 증가했습니다. 염증 등에 의해 일시적으로 증가할 수 있습니다. 발열 등의 증상이 없다면 추적관찰 바랍니다.</v>
      </c>
      <c r="E872" s="1" t="str">
        <f t="shared" si="262"/>
        <v>WOK02</v>
      </c>
      <c r="F872" s="1" t="str">
        <f>"PTM03"</f>
        <v>PTM03</v>
      </c>
      <c r="G872" s="1" t="str">
        <f>"DISD"</f>
        <v>DISD</v>
      </c>
      <c r="H872" s="1" t="str">
        <f>"REL12"</f>
        <v>REL12</v>
      </c>
      <c r="I872" s="1" t="str">
        <f>""</f>
        <v/>
      </c>
      <c r="J872" s="1" t="str">
        <f t="shared" si="282"/>
        <v>C34C</v>
      </c>
      <c r="K872" s="1" t="str">
        <f t="shared" si="282"/>
        <v>C34C</v>
      </c>
      <c r="L872" s="1" t="str">
        <f t="shared" si="271"/>
        <v>R</v>
      </c>
      <c r="M872" s="1" t="str">
        <f>"T01"</f>
        <v>T01</v>
      </c>
      <c r="N872" s="1" t="str">
        <f t="shared" si="277"/>
        <v>Y</v>
      </c>
      <c r="O872" s="1" t="str">
        <f t="shared" si="283"/>
        <v>Y</v>
      </c>
      <c r="P872" s="1" t="str">
        <f t="shared" si="272"/>
        <v>Y</v>
      </c>
      <c r="Q872" s="1" t="str">
        <f t="shared" si="281"/>
        <v>A</v>
      </c>
    </row>
    <row r="873" spans="1:17" x14ac:dyDescent="0.3">
      <c r="A873" s="1" t="str">
        <f t="shared" si="278"/>
        <v>C2</v>
      </c>
      <c r="B873" s="1" t="str">
        <f>"J0126"</f>
        <v>J0126</v>
      </c>
      <c r="C873" s="1" t="str">
        <f>"혈소판 증가"</f>
        <v>혈소판 증가</v>
      </c>
      <c r="D873" s="1" t="s">
        <v>293</v>
      </c>
      <c r="E873" s="1" t="str">
        <f t="shared" si="262"/>
        <v>WOK02</v>
      </c>
      <c r="F873" s="1" t="str">
        <f>"PTM03"</f>
        <v>PTM03</v>
      </c>
      <c r="G873" s="1" t="str">
        <f>"DISD"</f>
        <v>DISD</v>
      </c>
      <c r="H873" s="1" t="str">
        <f>"REL12"</f>
        <v>REL12</v>
      </c>
      <c r="I873" s="1" t="str">
        <f>""</f>
        <v/>
      </c>
      <c r="J873" s="1" t="str">
        <f t="shared" si="282"/>
        <v>C34C</v>
      </c>
      <c r="K873" s="1" t="str">
        <f t="shared" si="282"/>
        <v>C34C</v>
      </c>
      <c r="L873" s="1" t="str">
        <f t="shared" si="271"/>
        <v>R</v>
      </c>
      <c r="M873" s="1" t="str">
        <f>"T01"</f>
        <v>T01</v>
      </c>
      <c r="N873" s="1" t="str">
        <f t="shared" si="277"/>
        <v>Y</v>
      </c>
      <c r="O873" s="1" t="str">
        <f t="shared" si="283"/>
        <v>Y</v>
      </c>
      <c r="P873" s="1" t="str">
        <f t="shared" si="272"/>
        <v>Y</v>
      </c>
      <c r="Q873" s="1" t="str">
        <f t="shared" si="281"/>
        <v>A</v>
      </c>
    </row>
    <row r="874" spans="1:17" x14ac:dyDescent="0.3">
      <c r="A874" s="1" t="str">
        <f t="shared" si="278"/>
        <v>C2</v>
      </c>
      <c r="B874" s="1" t="str">
        <f>"J0131T"</f>
        <v>J0131T</v>
      </c>
      <c r="C874" s="1" t="str">
        <f>"폐기종성 변화"</f>
        <v>폐기종성 변화</v>
      </c>
      <c r="D874" s="1" t="s">
        <v>120</v>
      </c>
      <c r="E874" s="1" t="str">
        <f t="shared" si="262"/>
        <v>WOK02</v>
      </c>
      <c r="F874" s="1" t="str">
        <f>"PTM01"</f>
        <v>PTM01</v>
      </c>
      <c r="G874" s="1" t="str">
        <f>"DISJ"</f>
        <v>DISJ</v>
      </c>
      <c r="H874" s="1" t="str">
        <f>"REL02"</f>
        <v>REL02</v>
      </c>
      <c r="I874" s="1" t="str">
        <f>""</f>
        <v/>
      </c>
      <c r="J874" s="1" t="str">
        <f>"C40C"</f>
        <v>C40C</v>
      </c>
      <c r="K874" s="1" t="str">
        <f>"C40C"</f>
        <v>C40C</v>
      </c>
      <c r="L874" s="1" t="str">
        <f t="shared" si="271"/>
        <v>R</v>
      </c>
      <c r="M874" s="1" t="str">
        <f>"T04"</f>
        <v>T04</v>
      </c>
      <c r="N874" s="1" t="str">
        <f t="shared" si="277"/>
        <v>Y</v>
      </c>
      <c r="O874" s="1" t="str">
        <f t="shared" si="283"/>
        <v>Y</v>
      </c>
      <c r="P874" s="1" t="str">
        <f t="shared" si="272"/>
        <v>Y</v>
      </c>
      <c r="Q874" s="1" t="str">
        <f t="shared" si="281"/>
        <v>A</v>
      </c>
    </row>
    <row r="875" spans="1:17" x14ac:dyDescent="0.3">
      <c r="A875" s="1" t="str">
        <f t="shared" si="278"/>
        <v>C2</v>
      </c>
      <c r="B875" s="1" t="str">
        <f>"J0133"</f>
        <v>J0133</v>
      </c>
      <c r="C875" s="1" t="str">
        <f>"폐결핵 활동성 미정"</f>
        <v>폐결핵 활동성 미정</v>
      </c>
      <c r="D875" s="1" t="s">
        <v>294</v>
      </c>
      <c r="E875" s="1" t="str">
        <f t="shared" si="262"/>
        <v>WOK02</v>
      </c>
      <c r="F875" s="1" t="str">
        <f>"PTM04"</f>
        <v>PTM04</v>
      </c>
      <c r="G875" s="1" t="str">
        <f>"DISJ"</f>
        <v>DISJ</v>
      </c>
      <c r="H875" s="1" t="str">
        <f>"REL01"</f>
        <v>REL01</v>
      </c>
      <c r="I875" s="1" t="str">
        <f>""</f>
        <v/>
      </c>
      <c r="J875" s="1" t="str">
        <f>"C01C"</f>
        <v>C01C</v>
      </c>
      <c r="K875" s="1" t="str">
        <f>"C01C"</f>
        <v>C01C</v>
      </c>
      <c r="L875" s="1" t="str">
        <f t="shared" si="271"/>
        <v>R</v>
      </c>
      <c r="M875" s="1" t="str">
        <f>"T04"</f>
        <v>T04</v>
      </c>
      <c r="N875" s="1" t="str">
        <f t="shared" si="277"/>
        <v>Y</v>
      </c>
      <c r="O875" s="1" t="str">
        <f t="shared" si="283"/>
        <v>Y</v>
      </c>
      <c r="P875" s="1" t="str">
        <f t="shared" si="272"/>
        <v>Y</v>
      </c>
      <c r="Q875" s="1" t="str">
        <f t="shared" si="281"/>
        <v>A</v>
      </c>
    </row>
    <row r="876" spans="1:17" x14ac:dyDescent="0.3">
      <c r="A876" s="1" t="str">
        <f t="shared" si="278"/>
        <v>C2</v>
      </c>
      <c r="B876" s="1" t="str">
        <f>"J0134H"</f>
        <v>J0134H</v>
      </c>
      <c r="C876" s="1" t="str">
        <f>"폐기종"</f>
        <v>폐기종</v>
      </c>
      <c r="D876" s="1" t="s">
        <v>121</v>
      </c>
      <c r="E876" s="1" t="str">
        <f t="shared" si="262"/>
        <v>WOK02</v>
      </c>
      <c r="F876" s="1" t="str">
        <f>"PTM01"</f>
        <v>PTM01</v>
      </c>
      <c r="G876" s="1" t="str">
        <f>"DISJ"</f>
        <v>DISJ</v>
      </c>
      <c r="H876" s="1" t="str">
        <f>"REL02"</f>
        <v>REL02</v>
      </c>
      <c r="I876" s="1" t="str">
        <f>""</f>
        <v/>
      </c>
      <c r="J876" s="1" t="str">
        <f>"C40C"</f>
        <v>C40C</v>
      </c>
      <c r="K876" s="1" t="str">
        <f>"C40C"</f>
        <v>C40C</v>
      </c>
      <c r="L876" s="1" t="str">
        <f>"Q"</f>
        <v>Q</v>
      </c>
      <c r="M876" s="1" t="str">
        <f>"T04"</f>
        <v>T04</v>
      </c>
      <c r="N876" s="1" t="str">
        <f t="shared" si="277"/>
        <v>Y</v>
      </c>
      <c r="O876" s="1" t="str">
        <f t="shared" si="283"/>
        <v>Y</v>
      </c>
      <c r="P876" s="1" t="str">
        <f t="shared" si="272"/>
        <v>Y</v>
      </c>
      <c r="Q876" s="1" t="str">
        <f t="shared" si="281"/>
        <v>A</v>
      </c>
    </row>
    <row r="877" spans="1:17" x14ac:dyDescent="0.3">
      <c r="A877" s="1" t="str">
        <f t="shared" si="278"/>
        <v>C2</v>
      </c>
      <c r="B877" s="1" t="str">
        <f>"J0140"</f>
        <v>J0140</v>
      </c>
      <c r="C877" s="1" t="str">
        <f>"소결절"</f>
        <v>소결절</v>
      </c>
      <c r="D877" s="1" t="str">
        <f>"과거사진과 대조하거나 3개월후 추적검사 권합니다."</f>
        <v>과거사진과 대조하거나 3개월후 추적검사 권합니다.</v>
      </c>
      <c r="E877" s="1" t="str">
        <f t="shared" si="262"/>
        <v>WOK02</v>
      </c>
      <c r="F877" s="1" t="str">
        <f>"PTM033"</f>
        <v>PTM033</v>
      </c>
      <c r="G877" s="1" t="str">
        <f>"DISJ"</f>
        <v>DISJ</v>
      </c>
      <c r="H877" s="1" t="str">
        <f>"REL02"</f>
        <v>REL02</v>
      </c>
      <c r="I877" s="1" t="str">
        <f>""</f>
        <v/>
      </c>
      <c r="J877" s="1" t="str">
        <f>"C02C"</f>
        <v>C02C</v>
      </c>
      <c r="K877" s="1" t="str">
        <f>"C02C"</f>
        <v>C02C</v>
      </c>
      <c r="L877" s="1" t="str">
        <f t="shared" ref="L877:L908" si="284">"R"</f>
        <v>R</v>
      </c>
      <c r="M877" s="1" t="str">
        <f>"T04"</f>
        <v>T04</v>
      </c>
      <c r="N877" s="1" t="str">
        <f t="shared" si="277"/>
        <v>Y</v>
      </c>
      <c r="O877" s="1" t="str">
        <f t="shared" si="283"/>
        <v>Y</v>
      </c>
      <c r="P877" s="1" t="str">
        <f t="shared" si="272"/>
        <v>Y</v>
      </c>
      <c r="Q877" s="1" t="str">
        <f t="shared" si="281"/>
        <v>A</v>
      </c>
    </row>
    <row r="878" spans="1:17" x14ac:dyDescent="0.3">
      <c r="A878" s="1" t="str">
        <f t="shared" si="278"/>
        <v>C2</v>
      </c>
      <c r="B878" s="1" t="str">
        <f>"J0157"</f>
        <v>J0157</v>
      </c>
      <c r="C878" s="1" t="str">
        <f>"간 질환의심"</f>
        <v>간 질환의심</v>
      </c>
      <c r="D878" s="1" t="str">
        <f>"간 수치가 증가 되어 있습니다 음주 및 간염등에 의해 증가 될 수 있으며 정확한 진단을 위해 진료를 받으세요."</f>
        <v>간 수치가 증가 되어 있습니다 음주 및 간염등에 의해 증가 될 수 있으며 정확한 진단을 위해 진료를 받으세요.</v>
      </c>
      <c r="E878" s="1" t="str">
        <f t="shared" si="262"/>
        <v>WOK02</v>
      </c>
      <c r="F878" s="1" t="str">
        <f>"PTM01"</f>
        <v>PTM01</v>
      </c>
      <c r="G878" s="1" t="str">
        <f>"DISK"</f>
        <v>DISK</v>
      </c>
      <c r="H878" s="1" t="str">
        <f>"REL05"</f>
        <v>REL05</v>
      </c>
      <c r="I878" s="1" t="str">
        <f>""</f>
        <v/>
      </c>
      <c r="J878" s="1" t="str">
        <f>"C05C"</f>
        <v>C05C</v>
      </c>
      <c r="K878" s="1" t="str">
        <f>"C05C"</f>
        <v>C05C</v>
      </c>
      <c r="L878" s="1" t="str">
        <f t="shared" si="284"/>
        <v>R</v>
      </c>
      <c r="M878" s="1" t="str">
        <f>"T02"</f>
        <v>T02</v>
      </c>
      <c r="N878" s="1" t="str">
        <f t="shared" si="277"/>
        <v>Y</v>
      </c>
      <c r="O878" s="1" t="str">
        <f t="shared" si="283"/>
        <v>Y</v>
      </c>
      <c r="P878" s="1" t="str">
        <f t="shared" si="272"/>
        <v>Y</v>
      </c>
      <c r="Q878" s="1" t="str">
        <f t="shared" si="281"/>
        <v>A</v>
      </c>
    </row>
    <row r="879" spans="1:17" x14ac:dyDescent="0.3">
      <c r="A879" s="1" t="str">
        <f t="shared" si="278"/>
        <v>C2</v>
      </c>
      <c r="B879" s="1" t="str">
        <f>"J0165"</f>
        <v>J0165</v>
      </c>
      <c r="C879" s="1" t="str">
        <f>"(잠수)골융해성 병변"</f>
        <v>(잠수)골융해성 병변</v>
      </c>
      <c r="D879" s="1" t="s">
        <v>295</v>
      </c>
      <c r="E879" s="1" t="str">
        <f t="shared" ref="E879:E895" si="285">"WOK02"</f>
        <v>WOK02</v>
      </c>
      <c r="F879" s="1" t="str">
        <f>"PTM01"</f>
        <v>PTM01</v>
      </c>
      <c r="G879" s="1" t="str">
        <f>"DISM"</f>
        <v>DISM</v>
      </c>
      <c r="H879" s="1" t="str">
        <f>"REL22"</f>
        <v>REL22</v>
      </c>
      <c r="I879" s="1" t="str">
        <f>""</f>
        <v/>
      </c>
      <c r="J879" s="1" t="str">
        <f>"C43C"</f>
        <v>C43C</v>
      </c>
      <c r="K879" s="1" t="str">
        <f>"C43C"</f>
        <v>C43C</v>
      </c>
      <c r="L879" s="1" t="str">
        <f t="shared" si="284"/>
        <v>R</v>
      </c>
      <c r="M879" s="1" t="str">
        <f>""</f>
        <v/>
      </c>
      <c r="N879" s="1" t="str">
        <f t="shared" si="277"/>
        <v>Y</v>
      </c>
      <c r="O879" s="1" t="str">
        <f t="shared" si="283"/>
        <v>Y</v>
      </c>
      <c r="P879" s="1" t="str">
        <f t="shared" si="272"/>
        <v>Y</v>
      </c>
      <c r="Q879" s="1" t="str">
        <f t="shared" si="281"/>
        <v>A</v>
      </c>
    </row>
    <row r="880" spans="1:17" x14ac:dyDescent="0.3">
      <c r="A880" s="1" t="str">
        <f t="shared" si="278"/>
        <v>C2</v>
      </c>
      <c r="B880" s="1" t="str">
        <f>"J0180"</f>
        <v>J0180</v>
      </c>
      <c r="C880" s="1" t="str">
        <f>"과거염증흔적 소견"</f>
        <v>과거염증흔적 소견</v>
      </c>
      <c r="D880" s="1" t="str">
        <f>"지난 검사 결과와 비교하였을 때 큰 변화 없습니다. 증상이 없다면 특별한 치료가 필요하지 않으므로 다음 검사 시에 추적관찰 바랍니다."</f>
        <v>지난 검사 결과와 비교하였을 때 큰 변화 없습니다. 증상이 없다면 특별한 치료가 필요하지 않으므로 다음 검사 시에 추적관찰 바랍니다.</v>
      </c>
      <c r="E880" s="1" t="str">
        <f t="shared" si="285"/>
        <v>WOK02</v>
      </c>
      <c r="F880" s="1" t="str">
        <f>"PTM03"</f>
        <v>PTM03</v>
      </c>
      <c r="G880" s="1" t="str">
        <f>"DISJ"</f>
        <v>DISJ</v>
      </c>
      <c r="H880" s="1" t="str">
        <f>"REL02"</f>
        <v>REL02</v>
      </c>
      <c r="I880" s="1" t="str">
        <f>""</f>
        <v/>
      </c>
      <c r="J880" s="1" t="str">
        <f>"C40C"</f>
        <v>C40C</v>
      </c>
      <c r="K880" s="1" t="str">
        <f>"C40C"</f>
        <v>C40C</v>
      </c>
      <c r="L880" s="1" t="str">
        <f t="shared" si="284"/>
        <v>R</v>
      </c>
      <c r="M880" s="1" t="str">
        <f>"T04"</f>
        <v>T04</v>
      </c>
      <c r="N880" s="1" t="str">
        <f t="shared" si="277"/>
        <v>Y</v>
      </c>
      <c r="O880" s="1" t="str">
        <f t="shared" si="283"/>
        <v>Y</v>
      </c>
      <c r="P880" s="1" t="str">
        <f t="shared" si="272"/>
        <v>Y</v>
      </c>
      <c r="Q880" s="1" t="str">
        <f t="shared" si="281"/>
        <v>A</v>
      </c>
    </row>
    <row r="881" spans="1:17" x14ac:dyDescent="0.3">
      <c r="A881" s="1" t="str">
        <f t="shared" si="278"/>
        <v>C2</v>
      </c>
      <c r="B881" s="1" t="str">
        <f>"J0233"</f>
        <v>J0233</v>
      </c>
      <c r="C881" s="1" t="str">
        <f>"안과검사 필요"</f>
        <v>안과검사 필요</v>
      </c>
      <c r="D881" s="1" t="str">
        <f>"정밀안과검사(세극등현미경 검사 등) 필요합니다. 내원하셔서 관련 내용을 상담받으시기 바랍니다."</f>
        <v>정밀안과검사(세극등현미경 검사 등) 필요합니다. 내원하셔서 관련 내용을 상담받으시기 바랍니다.</v>
      </c>
      <c r="E881" s="1" t="str">
        <f t="shared" si="285"/>
        <v>WOK02</v>
      </c>
      <c r="F881" s="1" t="str">
        <f t="shared" ref="F881:F887" si="286">"PTM01"</f>
        <v>PTM01</v>
      </c>
      <c r="G881" s="1" t="str">
        <f>"DISH"</f>
        <v>DISH</v>
      </c>
      <c r="H881" s="1" t="str">
        <f>"REL14"</f>
        <v>REL14</v>
      </c>
      <c r="I881" s="1" t="str">
        <f>"09"</f>
        <v>09</v>
      </c>
      <c r="J881" s="1" t="str">
        <f>"S01R"</f>
        <v>S01R</v>
      </c>
      <c r="K881" s="1" t="str">
        <f>"S01R"</f>
        <v>S01R</v>
      </c>
      <c r="L881" s="1" t="str">
        <f t="shared" si="284"/>
        <v>R</v>
      </c>
      <c r="M881" s="1" t="str">
        <f>"T09"</f>
        <v>T09</v>
      </c>
      <c r="N881" s="1" t="str">
        <f t="shared" si="277"/>
        <v>Y</v>
      </c>
      <c r="O881" s="1" t="str">
        <f t="shared" si="283"/>
        <v>Y</v>
      </c>
      <c r="P881" s="1" t="str">
        <f t="shared" si="272"/>
        <v>Y</v>
      </c>
      <c r="Q881" s="1" t="str">
        <f t="shared" si="281"/>
        <v>A</v>
      </c>
    </row>
    <row r="882" spans="1:17" x14ac:dyDescent="0.3">
      <c r="A882" s="1" t="str">
        <f t="shared" si="278"/>
        <v>C2</v>
      </c>
      <c r="B882" s="1" t="str">
        <f>"J0240"</f>
        <v>J0240</v>
      </c>
      <c r="C882" s="1" t="str">
        <f>"신장질환주의(요소질소 상승)"</f>
        <v>신장질환주의(요소질소 상승)</v>
      </c>
      <c r="D882" s="1" t="s">
        <v>296</v>
      </c>
      <c r="E882" s="1" t="str">
        <f t="shared" si="285"/>
        <v>WOK02</v>
      </c>
      <c r="F882" s="1" t="str">
        <f t="shared" si="286"/>
        <v>PTM01</v>
      </c>
      <c r="G882" s="1" t="str">
        <f>"DISN"</f>
        <v>DISN</v>
      </c>
      <c r="H882" s="1" t="str">
        <f>"REL08"</f>
        <v>REL08</v>
      </c>
      <c r="I882" s="1" t="str">
        <f>""</f>
        <v/>
      </c>
      <c r="J882" s="1" t="str">
        <f>"C07C"</f>
        <v>C07C</v>
      </c>
      <c r="K882" s="1" t="str">
        <f>"C07C"</f>
        <v>C07C</v>
      </c>
      <c r="L882" s="1" t="str">
        <f t="shared" si="284"/>
        <v>R</v>
      </c>
      <c r="M882" s="1" t="str">
        <f>"T05"</f>
        <v>T05</v>
      </c>
      <c r="N882" s="1" t="str">
        <f t="shared" si="277"/>
        <v>Y</v>
      </c>
      <c r="O882" s="1" t="str">
        <f t="shared" si="283"/>
        <v>Y</v>
      </c>
      <c r="P882" s="1" t="str">
        <f t="shared" si="272"/>
        <v>Y</v>
      </c>
      <c r="Q882" s="1" t="str">
        <f t="shared" si="281"/>
        <v>A</v>
      </c>
    </row>
    <row r="883" spans="1:17" x14ac:dyDescent="0.3">
      <c r="A883" s="1" t="str">
        <f t="shared" si="278"/>
        <v>C2</v>
      </c>
      <c r="B883" s="1" t="str">
        <f>"J02401"</f>
        <v>J02401</v>
      </c>
      <c r="C883" s="1" t="str">
        <f>"신장질환주의(요소질소 상승)"</f>
        <v>신장질환주의(요소질소 상승)</v>
      </c>
      <c r="D883" s="1" t="s">
        <v>297</v>
      </c>
      <c r="E883" s="1" t="str">
        <f t="shared" si="285"/>
        <v>WOK02</v>
      </c>
      <c r="F883" s="1" t="str">
        <f t="shared" si="286"/>
        <v>PTM01</v>
      </c>
      <c r="G883" s="1" t="str">
        <f>"DISN"</f>
        <v>DISN</v>
      </c>
      <c r="H883" s="1" t="str">
        <f>"REL08"</f>
        <v>REL08</v>
      </c>
      <c r="I883" s="1" t="str">
        <f>""</f>
        <v/>
      </c>
      <c r="J883" s="1" t="str">
        <f>"C07C"</f>
        <v>C07C</v>
      </c>
      <c r="K883" s="1" t="str">
        <f>"C07C"</f>
        <v>C07C</v>
      </c>
      <c r="L883" s="1" t="str">
        <f t="shared" si="284"/>
        <v>R</v>
      </c>
      <c r="M883" s="1" t="str">
        <f>"T05"</f>
        <v>T05</v>
      </c>
      <c r="N883" s="1" t="str">
        <f t="shared" si="277"/>
        <v>Y</v>
      </c>
      <c r="O883" s="1" t="str">
        <f t="shared" si="283"/>
        <v>Y</v>
      </c>
      <c r="P883" s="1" t="str">
        <f t="shared" si="272"/>
        <v>Y</v>
      </c>
      <c r="Q883" s="1" t="str">
        <f t="shared" si="281"/>
        <v>A</v>
      </c>
    </row>
    <row r="884" spans="1:17" x14ac:dyDescent="0.3">
      <c r="A884" s="1" t="str">
        <f t="shared" si="278"/>
        <v>C2</v>
      </c>
      <c r="B884" s="1" t="str">
        <f>"J0257"</f>
        <v>J0257</v>
      </c>
      <c r="C884" s="1" t="str">
        <f>"혈중 호산구 증가"</f>
        <v>혈중 호산구 증가</v>
      </c>
      <c r="D884" s="1" t="str">
        <f>"혈중 호산구가 증가 되어 있습니다. 알레르기성 질환 및 기생충 감염증 등에서 증가할 수 있으므로 관련 증상이 있다면 진료를 받으시길 바랍니다."</f>
        <v>혈중 호산구가 증가 되어 있습니다. 알레르기성 질환 및 기생충 감염증 등에서 증가할 수 있으므로 관련 증상이 있다면 진료를 받으시길 바랍니다.</v>
      </c>
      <c r="E884" s="1" t="str">
        <f t="shared" si="285"/>
        <v>WOK02</v>
      </c>
      <c r="F884" s="1" t="str">
        <f t="shared" si="286"/>
        <v>PTM01</v>
      </c>
      <c r="G884" s="1" t="str">
        <f>"DISD"</f>
        <v>DISD</v>
      </c>
      <c r="H884" s="1" t="str">
        <f>"REL12"</f>
        <v>REL12</v>
      </c>
      <c r="I884" s="1" t="str">
        <f>""</f>
        <v/>
      </c>
      <c r="J884" s="1" t="str">
        <f>"C34C"</f>
        <v>C34C</v>
      </c>
      <c r="K884" s="1" t="str">
        <f>"C34C"</f>
        <v>C34C</v>
      </c>
      <c r="L884" s="1" t="str">
        <f t="shared" si="284"/>
        <v>R</v>
      </c>
      <c r="M884" s="1" t="str">
        <f>"T01"</f>
        <v>T01</v>
      </c>
      <c r="N884" s="1" t="str">
        <f t="shared" si="277"/>
        <v>Y</v>
      </c>
      <c r="O884" s="1" t="str">
        <f t="shared" si="283"/>
        <v>Y</v>
      </c>
      <c r="P884" s="1" t="str">
        <f t="shared" si="272"/>
        <v>Y</v>
      </c>
      <c r="Q884" s="1" t="str">
        <f t="shared" si="281"/>
        <v>A</v>
      </c>
    </row>
    <row r="885" spans="1:17" x14ac:dyDescent="0.3">
      <c r="A885" s="1" t="str">
        <f t="shared" si="278"/>
        <v>C2</v>
      </c>
      <c r="B885" s="1" t="str">
        <f>"J0263"</f>
        <v>J0263</v>
      </c>
      <c r="C885" s="1" t="str">
        <f>"리파아제 상승"</f>
        <v>리파아제 상승</v>
      </c>
      <c r="D885" s="1" t="s">
        <v>298</v>
      </c>
      <c r="E885" s="1" t="str">
        <f t="shared" si="285"/>
        <v>WOK02</v>
      </c>
      <c r="F885" s="1" t="str">
        <f t="shared" si="286"/>
        <v>PTM01</v>
      </c>
      <c r="G885" s="1" t="str">
        <f>"DISK"</f>
        <v>DISK</v>
      </c>
      <c r="H885" s="1" t="str">
        <f>"REL05"</f>
        <v>REL05</v>
      </c>
      <c r="I885" s="1" t="str">
        <f>""</f>
        <v/>
      </c>
      <c r="J885" s="1" t="str">
        <f>"C41C"</f>
        <v>C41C</v>
      </c>
      <c r="K885" s="1" t="str">
        <f>"C41C"</f>
        <v>C41C</v>
      </c>
      <c r="L885" s="1" t="str">
        <f t="shared" si="284"/>
        <v>R</v>
      </c>
      <c r="M885" s="1" t="str">
        <f>"T02"</f>
        <v>T02</v>
      </c>
      <c r="N885" s="1" t="str">
        <f t="shared" si="277"/>
        <v>Y</v>
      </c>
      <c r="O885" s="1" t="str">
        <f t="shared" si="283"/>
        <v>Y</v>
      </c>
      <c r="P885" s="1" t="str">
        <f t="shared" si="272"/>
        <v>Y</v>
      </c>
      <c r="Q885" s="1" t="str">
        <f t="shared" si="281"/>
        <v>A</v>
      </c>
    </row>
    <row r="886" spans="1:17" x14ac:dyDescent="0.3">
      <c r="A886" s="1" t="str">
        <f t="shared" si="278"/>
        <v>C2</v>
      </c>
      <c r="B886" s="1" t="str">
        <f>"J0286"</f>
        <v>J0286</v>
      </c>
      <c r="C886" s="1" t="str">
        <f>"폐렴의증"</f>
        <v>폐렴의증</v>
      </c>
      <c r="D886" s="1" t="s">
        <v>299</v>
      </c>
      <c r="E886" s="1" t="str">
        <f t="shared" si="285"/>
        <v>WOK02</v>
      </c>
      <c r="F886" s="1" t="str">
        <f t="shared" si="286"/>
        <v>PTM01</v>
      </c>
      <c r="G886" s="1" t="str">
        <f>"DISJ"</f>
        <v>DISJ</v>
      </c>
      <c r="H886" s="1" t="str">
        <f>"REL02"</f>
        <v>REL02</v>
      </c>
      <c r="I886" s="1" t="str">
        <f>""</f>
        <v/>
      </c>
      <c r="J886" s="1" t="str">
        <f>"C02C"</f>
        <v>C02C</v>
      </c>
      <c r="K886" s="1" t="str">
        <f>"C02C"</f>
        <v>C02C</v>
      </c>
      <c r="L886" s="1" t="str">
        <f t="shared" si="284"/>
        <v>R</v>
      </c>
      <c r="M886" s="1" t="str">
        <f>"T04"</f>
        <v>T04</v>
      </c>
      <c r="N886" s="1" t="str">
        <f t="shared" si="277"/>
        <v>Y</v>
      </c>
      <c r="O886" s="1" t="str">
        <f t="shared" si="283"/>
        <v>Y</v>
      </c>
      <c r="P886" s="1" t="str">
        <f t="shared" si="272"/>
        <v>Y</v>
      </c>
      <c r="Q886" s="1" t="str">
        <f t="shared" si="281"/>
        <v>A</v>
      </c>
    </row>
    <row r="887" spans="1:17" x14ac:dyDescent="0.3">
      <c r="A887" s="1" t="str">
        <f t="shared" si="278"/>
        <v>C2</v>
      </c>
      <c r="B887" s="1" t="str">
        <f>"J0308"</f>
        <v>J0308</v>
      </c>
      <c r="C887" s="1" t="str">
        <f>"호중구 증가"</f>
        <v>호중구 증가</v>
      </c>
      <c r="D887" s="1" t="str">
        <f>"혈액검사상 호산구 증가 관찰됩니다. 추적검사 및 의사상담 받으세요. (혈중 호산구는 알레르기성 질환 및 기생충 감염증 등에서 증가할 수 있습니다.)"</f>
        <v>혈액검사상 호산구 증가 관찰됩니다. 추적검사 및 의사상담 받으세요. (혈중 호산구는 알레르기성 질환 및 기생충 감염증 등에서 증가할 수 있습니다.)</v>
      </c>
      <c r="E887" s="1" t="str">
        <f t="shared" si="285"/>
        <v>WOK02</v>
      </c>
      <c r="F887" s="1" t="str">
        <f t="shared" si="286"/>
        <v>PTM01</v>
      </c>
      <c r="G887" s="1" t="str">
        <f>"DISD"</f>
        <v>DISD</v>
      </c>
      <c r="H887" s="1" t="str">
        <f>"REL12"</f>
        <v>REL12</v>
      </c>
      <c r="I887" s="1" t="str">
        <f>""</f>
        <v/>
      </c>
      <c r="J887" s="1" t="str">
        <f>"C34C"</f>
        <v>C34C</v>
      </c>
      <c r="K887" s="1" t="str">
        <f>"C34C"</f>
        <v>C34C</v>
      </c>
      <c r="L887" s="1" t="str">
        <f t="shared" si="284"/>
        <v>R</v>
      </c>
      <c r="M887" s="1" t="str">
        <f>"T01"</f>
        <v>T01</v>
      </c>
      <c r="N887" s="1" t="str">
        <f t="shared" si="277"/>
        <v>Y</v>
      </c>
      <c r="O887" s="1" t="str">
        <f t="shared" si="283"/>
        <v>Y</v>
      </c>
      <c r="P887" s="1" t="str">
        <f t="shared" si="272"/>
        <v>Y</v>
      </c>
      <c r="Q887" s="1" t="str">
        <f t="shared" si="281"/>
        <v>A</v>
      </c>
    </row>
    <row r="888" spans="1:17" x14ac:dyDescent="0.3">
      <c r="A888" s="1" t="str">
        <f t="shared" si="278"/>
        <v>C2</v>
      </c>
      <c r="B888" s="1" t="str">
        <f>"J0309"</f>
        <v>J0309</v>
      </c>
      <c r="C888" s="1" t="str">
        <f>"CPK수치 증가"</f>
        <v>CPK수치 증가</v>
      </c>
      <c r="D888" s="1" t="str">
        <f>"혈중 CPK가 증가되어 추적검사 받으시기 바랍니다.(CPK는 심한 운동 또는 근육의 손상이 있을 때 수치가 증가할 수 있습니다)"</f>
        <v>혈중 CPK가 증가되어 추적검사 받으시기 바랍니다.(CPK는 심한 운동 또는 근육의 손상이 있을 때 수치가 증가할 수 있습니다)</v>
      </c>
      <c r="E888" s="1" t="str">
        <f t="shared" si="285"/>
        <v>WOK02</v>
      </c>
      <c r="F888" s="1" t="str">
        <f>""</f>
        <v/>
      </c>
      <c r="G888" s="1" t="str">
        <f>""</f>
        <v/>
      </c>
      <c r="H888" s="1" t="str">
        <f>""</f>
        <v/>
      </c>
      <c r="I888" s="1" t="str">
        <f>""</f>
        <v/>
      </c>
      <c r="J888" s="1" t="str">
        <f>""</f>
        <v/>
      </c>
      <c r="K888" s="1" t="str">
        <f>""</f>
        <v/>
      </c>
      <c r="L888" s="1" t="str">
        <f t="shared" si="284"/>
        <v>R</v>
      </c>
      <c r="M888" s="1" t="str">
        <f>""</f>
        <v/>
      </c>
      <c r="N888" s="1" t="str">
        <f t="shared" si="277"/>
        <v>Y</v>
      </c>
      <c r="O888" s="1" t="str">
        <f t="shared" si="283"/>
        <v>Y</v>
      </c>
      <c r="P888" s="1" t="str">
        <f t="shared" si="272"/>
        <v>Y</v>
      </c>
      <c r="Q888" s="1" t="str">
        <f t="shared" si="281"/>
        <v>A</v>
      </c>
    </row>
    <row r="889" spans="1:17" x14ac:dyDescent="0.3">
      <c r="A889" s="1" t="str">
        <f t="shared" si="278"/>
        <v>C2</v>
      </c>
      <c r="B889" s="1" t="str">
        <f>"J0314"</f>
        <v>J0314</v>
      </c>
      <c r="C889" s="1" t="str">
        <f>"(우측)비소음성난청주의"</f>
        <v>(우측)비소음성난청주의</v>
      </c>
      <c r="D889" s="1" t="str">
        <f>"과거 외상이나 중이염 등 비소음성난청에 의한 청력손실이 관찰됩니다. 이상증상이 있을시 이비인후과 진료를 받으세요."</f>
        <v>과거 외상이나 중이염 등 비소음성난청에 의한 청력손실이 관찰됩니다. 이상증상이 있을시 이비인후과 진료를 받으세요.</v>
      </c>
      <c r="E889" s="1" t="str">
        <f t="shared" si="285"/>
        <v>WOK02</v>
      </c>
      <c r="F889" s="1" t="str">
        <f>"PTM01"</f>
        <v>PTM01</v>
      </c>
      <c r="G889" s="1" t="str">
        <f>"DISH"</f>
        <v>DISH</v>
      </c>
      <c r="H889" s="1" t="str">
        <f>"REL19"</f>
        <v>REL19</v>
      </c>
      <c r="I889" s="1" t="str">
        <f>"01"</f>
        <v>01</v>
      </c>
      <c r="J889" s="1" t="str">
        <f>"C38C"</f>
        <v>C38C</v>
      </c>
      <c r="K889" s="1" t="str">
        <f>"C38C"</f>
        <v>C38C</v>
      </c>
      <c r="L889" s="1" t="str">
        <f t="shared" si="284"/>
        <v>R</v>
      </c>
      <c r="M889" s="1" t="str">
        <f>"T10"</f>
        <v>T10</v>
      </c>
      <c r="N889" s="1" t="str">
        <f t="shared" si="277"/>
        <v>Y</v>
      </c>
      <c r="O889" s="1" t="str">
        <f t="shared" si="283"/>
        <v>Y</v>
      </c>
      <c r="P889" s="1" t="str">
        <f t="shared" si="272"/>
        <v>Y</v>
      </c>
      <c r="Q889" s="1" t="str">
        <f>"R"</f>
        <v>R</v>
      </c>
    </row>
    <row r="890" spans="1:17" x14ac:dyDescent="0.3">
      <c r="A890" s="1" t="str">
        <f t="shared" si="278"/>
        <v>C2</v>
      </c>
      <c r="B890" s="1" t="str">
        <f>"J0315"</f>
        <v>J0315</v>
      </c>
      <c r="C890" s="1" t="str">
        <f>"호중구 감소"</f>
        <v>호중구 감소</v>
      </c>
      <c r="D890" s="1" t="str">
        <f>"혈액검사상 호중구 감소 관찰됩니다. 추적검사 및 의사상담 받으세요"</f>
        <v>혈액검사상 호중구 감소 관찰됩니다. 추적검사 및 의사상담 받으세요</v>
      </c>
      <c r="E890" s="1" t="str">
        <f t="shared" si="285"/>
        <v>WOK02</v>
      </c>
      <c r="F890" s="1" t="str">
        <f>"PTM01"</f>
        <v>PTM01</v>
      </c>
      <c r="G890" s="1" t="str">
        <f>"DISD"</f>
        <v>DISD</v>
      </c>
      <c r="H890" s="1" t="str">
        <f>"REL12"</f>
        <v>REL12</v>
      </c>
      <c r="I890" s="1" t="str">
        <f>""</f>
        <v/>
      </c>
      <c r="J890" s="1" t="str">
        <f>"C34C"</f>
        <v>C34C</v>
      </c>
      <c r="K890" s="1" t="str">
        <f>"C34C"</f>
        <v>C34C</v>
      </c>
      <c r="L890" s="1" t="str">
        <f t="shared" si="284"/>
        <v>R</v>
      </c>
      <c r="M890" s="1" t="str">
        <f>"T01"</f>
        <v>T01</v>
      </c>
      <c r="N890" s="1" t="str">
        <f t="shared" si="277"/>
        <v>Y</v>
      </c>
      <c r="O890" s="1" t="str">
        <f t="shared" si="283"/>
        <v>Y</v>
      </c>
      <c r="P890" s="1" t="str">
        <f t="shared" si="272"/>
        <v>Y</v>
      </c>
      <c r="Q890" s="1" t="str">
        <f t="shared" ref="Q890:Q903" si="287">"A"</f>
        <v>A</v>
      </c>
    </row>
    <row r="891" spans="1:17" x14ac:dyDescent="0.3">
      <c r="A891" s="1" t="str">
        <f t="shared" si="278"/>
        <v>C2</v>
      </c>
      <c r="B891" s="1" t="str">
        <f>"J0317"</f>
        <v>J0317</v>
      </c>
      <c r="C891" s="1" t="str">
        <f>"소기관지폐쇄소견(폐기능검사)"</f>
        <v>소기관지폐쇄소견(폐기능검사)</v>
      </c>
      <c r="D891" s="1" t="s">
        <v>173</v>
      </c>
      <c r="E891" s="1" t="str">
        <f t="shared" si="285"/>
        <v>WOK02</v>
      </c>
      <c r="F891" s="1" t="str">
        <f>"PTM03"</f>
        <v>PTM03</v>
      </c>
      <c r="G891" s="1" t="str">
        <f>"DISJ"</f>
        <v>DISJ</v>
      </c>
      <c r="H891" s="1" t="str">
        <f>"REL02"</f>
        <v>REL02</v>
      </c>
      <c r="I891" s="1" t="str">
        <f>"N0166"</f>
        <v>N0166</v>
      </c>
      <c r="J891" s="1" t="str">
        <f t="shared" ref="J891:K893" si="288">"C40C"</f>
        <v>C40C</v>
      </c>
      <c r="K891" s="1" t="str">
        <f t="shared" si="288"/>
        <v>C40C</v>
      </c>
      <c r="L891" s="1" t="str">
        <f t="shared" si="284"/>
        <v>R</v>
      </c>
      <c r="M891" s="1" t="str">
        <f>"T04"</f>
        <v>T04</v>
      </c>
      <c r="N891" s="1" t="str">
        <f t="shared" si="277"/>
        <v>Y</v>
      </c>
      <c r="O891" s="1" t="str">
        <f t="shared" si="283"/>
        <v>Y</v>
      </c>
      <c r="P891" s="1" t="str">
        <f t="shared" si="272"/>
        <v>Y</v>
      </c>
      <c r="Q891" s="1" t="str">
        <f t="shared" si="287"/>
        <v>A</v>
      </c>
    </row>
    <row r="892" spans="1:17" x14ac:dyDescent="0.3">
      <c r="A892" s="1" t="str">
        <f t="shared" si="278"/>
        <v>C2</v>
      </c>
      <c r="B892" s="1" t="str">
        <f>"J0318"</f>
        <v>J0318</v>
      </c>
      <c r="C892" s="1" t="str">
        <f>"혼합성 폐기능 장애"</f>
        <v>혼합성 폐기능 장애</v>
      </c>
      <c r="D892" s="1" t="s">
        <v>300</v>
      </c>
      <c r="E892" s="1" t="str">
        <f t="shared" si="285"/>
        <v>WOK02</v>
      </c>
      <c r="F892" s="1" t="str">
        <f>"PTM02"</f>
        <v>PTM02</v>
      </c>
      <c r="G892" s="1" t="str">
        <f>"DISJ"</f>
        <v>DISJ</v>
      </c>
      <c r="H892" s="1" t="str">
        <f>"REL02"</f>
        <v>REL02</v>
      </c>
      <c r="I892" s="1" t="str">
        <f>""</f>
        <v/>
      </c>
      <c r="J892" s="1" t="str">
        <f t="shared" si="288"/>
        <v>C40C</v>
      </c>
      <c r="K892" s="1" t="str">
        <f t="shared" si="288"/>
        <v>C40C</v>
      </c>
      <c r="L892" s="1" t="str">
        <f t="shared" si="284"/>
        <v>R</v>
      </c>
      <c r="M892" s="1" t="str">
        <f>"T04"</f>
        <v>T04</v>
      </c>
      <c r="N892" s="1" t="str">
        <f t="shared" si="277"/>
        <v>Y</v>
      </c>
      <c r="O892" s="1" t="str">
        <f t="shared" si="283"/>
        <v>Y</v>
      </c>
      <c r="P892" s="1" t="str">
        <f t="shared" si="272"/>
        <v>Y</v>
      </c>
      <c r="Q892" s="1" t="str">
        <f t="shared" si="287"/>
        <v>A</v>
      </c>
    </row>
    <row r="893" spans="1:17" x14ac:dyDescent="0.3">
      <c r="A893" s="1" t="str">
        <f t="shared" si="278"/>
        <v>C2</v>
      </c>
      <c r="B893" s="1" t="str">
        <f>"J0322L"</f>
        <v>J0322L</v>
      </c>
      <c r="C893" s="1" t="str">
        <f>"제한성 폐기능 저하"</f>
        <v>제한성 폐기능 저하</v>
      </c>
      <c r="D893" s="1" t="str">
        <f>"제한성 폐기능 저하 소견을 보이나 이차검사에서 이상은 없습니다. 보호구를 잘 착용하시고 정기적으로 확인하세요."</f>
        <v>제한성 폐기능 저하 소견을 보이나 이차검사에서 이상은 없습니다. 보호구를 잘 착용하시고 정기적으로 확인하세요.</v>
      </c>
      <c r="E893" s="1" t="str">
        <f t="shared" si="285"/>
        <v>WOK02</v>
      </c>
      <c r="F893" s="1" t="str">
        <f>"PTM02"</f>
        <v>PTM02</v>
      </c>
      <c r="G893" s="1" t="str">
        <f>"DISJ"</f>
        <v>DISJ</v>
      </c>
      <c r="H893" s="1" t="str">
        <f>"REL02"</f>
        <v>REL02</v>
      </c>
      <c r="I893" s="1" t="str">
        <f>""</f>
        <v/>
      </c>
      <c r="J893" s="1" t="str">
        <f t="shared" si="288"/>
        <v>C40C</v>
      </c>
      <c r="K893" s="1" t="str">
        <f t="shared" si="288"/>
        <v>C40C</v>
      </c>
      <c r="L893" s="1" t="str">
        <f t="shared" si="284"/>
        <v>R</v>
      </c>
      <c r="M893" s="1" t="str">
        <f>"T04"</f>
        <v>T04</v>
      </c>
      <c r="N893" s="1" t="str">
        <f t="shared" si="277"/>
        <v>Y</v>
      </c>
      <c r="O893" s="1" t="str">
        <f t="shared" si="283"/>
        <v>Y</v>
      </c>
      <c r="P893" s="1" t="str">
        <f t="shared" si="272"/>
        <v>Y</v>
      </c>
      <c r="Q893" s="1" t="str">
        <f t="shared" si="287"/>
        <v>A</v>
      </c>
    </row>
    <row r="894" spans="1:17" x14ac:dyDescent="0.3">
      <c r="A894" s="1" t="str">
        <f t="shared" si="278"/>
        <v>C2</v>
      </c>
      <c r="B894" s="1" t="str">
        <f>"J0325"</f>
        <v>J0325</v>
      </c>
      <c r="C894" s="1" t="str">
        <f>"(요침사)상피세포 증가"</f>
        <v>(요침사)상피세포 증가</v>
      </c>
      <c r="D894" s="1" t="s">
        <v>301</v>
      </c>
      <c r="E894" s="1" t="str">
        <f t="shared" si="285"/>
        <v>WOK02</v>
      </c>
      <c r="F894" s="1" t="str">
        <f>"PTM03"</f>
        <v>PTM03</v>
      </c>
      <c r="G894" s="1" t="str">
        <f>"DISN"</f>
        <v>DISN</v>
      </c>
      <c r="H894" s="1" t="str">
        <f>"REL09"</f>
        <v>REL09</v>
      </c>
      <c r="I894" s="1" t="str">
        <f>""</f>
        <v/>
      </c>
      <c r="J894" s="1" t="str">
        <f>"C44C"</f>
        <v>C44C</v>
      </c>
      <c r="K894" s="1" t="str">
        <f>"C44C"</f>
        <v>C44C</v>
      </c>
      <c r="L894" s="1" t="str">
        <f t="shared" si="284"/>
        <v>R</v>
      </c>
      <c r="M894" s="1" t="str">
        <f>"T05"</f>
        <v>T05</v>
      </c>
      <c r="N894" s="1" t="str">
        <f t="shared" si="277"/>
        <v>Y</v>
      </c>
      <c r="O894" s="1" t="str">
        <f t="shared" si="283"/>
        <v>Y</v>
      </c>
      <c r="P894" s="1" t="str">
        <f t="shared" si="272"/>
        <v>Y</v>
      </c>
      <c r="Q894" s="1" t="str">
        <f t="shared" si="287"/>
        <v>A</v>
      </c>
    </row>
    <row r="895" spans="1:17" x14ac:dyDescent="0.3">
      <c r="A895" s="1" t="str">
        <f t="shared" si="278"/>
        <v>C2</v>
      </c>
      <c r="B895" s="1" t="str">
        <f>"J0326"</f>
        <v>J0326</v>
      </c>
      <c r="C895" s="1" t="str">
        <f>"(단백뇨정량)단백뇨 주의"</f>
        <v>(단백뇨정량)단백뇨 주의</v>
      </c>
      <c r="D895" s="1" t="s">
        <v>302</v>
      </c>
      <c r="E895" s="1" t="str">
        <f t="shared" si="285"/>
        <v>WOK02</v>
      </c>
      <c r="F895" s="1" t="str">
        <f>"PTM033"</f>
        <v>PTM033</v>
      </c>
      <c r="G895" s="1" t="str">
        <f>"DISN"</f>
        <v>DISN</v>
      </c>
      <c r="H895" s="1" t="str">
        <f>"REL08"</f>
        <v>REL08</v>
      </c>
      <c r="I895" s="1" t="str">
        <f>""</f>
        <v/>
      </c>
      <c r="J895" s="1" t="str">
        <f>"C07C"</f>
        <v>C07C</v>
      </c>
      <c r="K895" s="1" t="str">
        <f>"C07C"</f>
        <v>C07C</v>
      </c>
      <c r="L895" s="1" t="str">
        <f t="shared" si="284"/>
        <v>R</v>
      </c>
      <c r="M895" s="1" t="str">
        <f>"T05"</f>
        <v>T05</v>
      </c>
      <c r="N895" s="1" t="str">
        <f t="shared" si="277"/>
        <v>Y</v>
      </c>
      <c r="O895" s="1" t="str">
        <f t="shared" si="283"/>
        <v>Y</v>
      </c>
      <c r="P895" s="1" t="str">
        <f t="shared" si="272"/>
        <v>Y</v>
      </c>
      <c r="Q895" s="1" t="str">
        <f t="shared" si="287"/>
        <v>A</v>
      </c>
    </row>
    <row r="896" spans="1:17" x14ac:dyDescent="0.3">
      <c r="A896" s="1" t="str">
        <f t="shared" si="278"/>
        <v>C2</v>
      </c>
      <c r="B896" s="1" t="str">
        <f>"J0327"</f>
        <v>J0327</v>
      </c>
      <c r="C896" s="1" t="str">
        <f>"안저검사 이상소견"</f>
        <v>안저검사 이상소견</v>
      </c>
      <c r="D896" s="1" t="str">
        <f>"안저검사상 이상소견이 관찰됩니다. 가까운 안과 방문하여 진료상담 받으시기 바랍니다."</f>
        <v>안저검사상 이상소견이 관찰됩니다. 가까운 안과 방문하여 진료상담 받으시기 바랍니다.</v>
      </c>
      <c r="E896" s="1" t="str">
        <f>""</f>
        <v/>
      </c>
      <c r="F896" s="1" t="str">
        <f>""</f>
        <v/>
      </c>
      <c r="G896" s="1" t="str">
        <f>"DISH"</f>
        <v>DISH</v>
      </c>
      <c r="H896" s="1" t="str">
        <f>""</f>
        <v/>
      </c>
      <c r="I896" s="1" t="str">
        <f>""</f>
        <v/>
      </c>
      <c r="J896" s="1" t="str">
        <f>"C38C"</f>
        <v>C38C</v>
      </c>
      <c r="K896" s="1" t="str">
        <f>"C38C"</f>
        <v>C38C</v>
      </c>
      <c r="L896" s="1" t="str">
        <f t="shared" si="284"/>
        <v>R</v>
      </c>
      <c r="M896" s="1" t="str">
        <f>""</f>
        <v/>
      </c>
      <c r="N896" s="1" t="str">
        <f t="shared" si="277"/>
        <v>Y</v>
      </c>
      <c r="O896" s="1" t="str">
        <f t="shared" si="283"/>
        <v>Y</v>
      </c>
      <c r="P896" s="1" t="str">
        <f t="shared" si="272"/>
        <v>Y</v>
      </c>
      <c r="Q896" s="1" t="str">
        <f t="shared" si="287"/>
        <v>A</v>
      </c>
    </row>
    <row r="897" spans="1:17" x14ac:dyDescent="0.3">
      <c r="A897" s="1" t="str">
        <f t="shared" si="278"/>
        <v>C2</v>
      </c>
      <c r="B897" s="1" t="str">
        <f>"J0331"</f>
        <v>J0331</v>
      </c>
      <c r="C897" s="1" t="str">
        <f>"폐기능 저하"</f>
        <v>폐기능 저하</v>
      </c>
      <c r="D897" s="1" t="s">
        <v>173</v>
      </c>
      <c r="E897" s="1" t="str">
        <f>"WOK02"</f>
        <v>WOK02</v>
      </c>
      <c r="F897" s="1" t="str">
        <f>"PTM03"</f>
        <v>PTM03</v>
      </c>
      <c r="G897" s="1" t="str">
        <f>"DISJ"</f>
        <v>DISJ</v>
      </c>
      <c r="H897" s="1" t="str">
        <f>"REL15"</f>
        <v>REL15</v>
      </c>
      <c r="I897" s="1" t="str">
        <f>""</f>
        <v/>
      </c>
      <c r="J897" s="1" t="str">
        <f>"C40C"</f>
        <v>C40C</v>
      </c>
      <c r="K897" s="1" t="str">
        <f>"C40C"</f>
        <v>C40C</v>
      </c>
      <c r="L897" s="1" t="str">
        <f t="shared" si="284"/>
        <v>R</v>
      </c>
      <c r="M897" s="1" t="str">
        <f>"T04"</f>
        <v>T04</v>
      </c>
      <c r="N897" s="1" t="str">
        <f t="shared" si="277"/>
        <v>Y</v>
      </c>
      <c r="O897" s="1" t="str">
        <f t="shared" si="283"/>
        <v>Y</v>
      </c>
      <c r="P897" s="1" t="str">
        <f t="shared" si="272"/>
        <v>Y</v>
      </c>
      <c r="Q897" s="1" t="str">
        <f t="shared" si="287"/>
        <v>A</v>
      </c>
    </row>
    <row r="898" spans="1:17" x14ac:dyDescent="0.3">
      <c r="A898" s="1" t="str">
        <f t="shared" si="278"/>
        <v>C2</v>
      </c>
      <c r="B898" s="1" t="str">
        <f>"J0356"</f>
        <v>J0356</v>
      </c>
      <c r="C898" s="1" t="str">
        <f>"스트레스 대처능력 저하"</f>
        <v>스트레스 대처능력 저하</v>
      </c>
      <c r="D898" s="1" t="s">
        <v>303</v>
      </c>
      <c r="E898" s="1" t="str">
        <f>"WOK02"</f>
        <v>WOK02</v>
      </c>
      <c r="F898" s="1" t="str">
        <f>"PTM04"</f>
        <v>PTM04</v>
      </c>
      <c r="G898" s="1" t="str">
        <f>""</f>
        <v/>
      </c>
      <c r="H898" s="1" t="str">
        <f>"REL21"</f>
        <v>REL21</v>
      </c>
      <c r="I898" s="1" t="str">
        <f>""</f>
        <v/>
      </c>
      <c r="J898" s="1" t="str">
        <f>""</f>
        <v/>
      </c>
      <c r="K898" s="1" t="str">
        <f>""</f>
        <v/>
      </c>
      <c r="L898" s="1" t="str">
        <f t="shared" si="284"/>
        <v>R</v>
      </c>
      <c r="M898" s="1" t="str">
        <f>"T06"</f>
        <v>T06</v>
      </c>
      <c r="N898" s="1" t="str">
        <f t="shared" si="277"/>
        <v>Y</v>
      </c>
      <c r="O898" s="1" t="str">
        <f t="shared" si="283"/>
        <v>Y</v>
      </c>
      <c r="P898" s="1" t="str">
        <f t="shared" si="272"/>
        <v>Y</v>
      </c>
      <c r="Q898" s="1" t="str">
        <f t="shared" si="287"/>
        <v>A</v>
      </c>
    </row>
    <row r="899" spans="1:17" x14ac:dyDescent="0.3">
      <c r="A899" s="1" t="str">
        <f t="shared" si="278"/>
        <v>C2</v>
      </c>
      <c r="B899" s="1" t="str">
        <f>"J0357"</f>
        <v>J0357</v>
      </c>
      <c r="C899" s="1" t="str">
        <f>"만성스트레스"</f>
        <v>만성스트레스</v>
      </c>
      <c r="D899" s="1" t="s">
        <v>304</v>
      </c>
      <c r="E899" s="1" t="str">
        <f>"WOK02"</f>
        <v>WOK02</v>
      </c>
      <c r="F899" s="1" t="str">
        <f>"PTM04"</f>
        <v>PTM04</v>
      </c>
      <c r="G899" s="1" t="str">
        <f>""</f>
        <v/>
      </c>
      <c r="H899" s="1" t="str">
        <f>"REL21"</f>
        <v>REL21</v>
      </c>
      <c r="I899" s="1" t="str">
        <f>""</f>
        <v/>
      </c>
      <c r="J899" s="1" t="str">
        <f>""</f>
        <v/>
      </c>
      <c r="K899" s="1" t="str">
        <f>""</f>
        <v/>
      </c>
      <c r="L899" s="1" t="str">
        <f t="shared" si="284"/>
        <v>R</v>
      </c>
      <c r="M899" s="1" t="str">
        <f>""</f>
        <v/>
      </c>
      <c r="N899" s="1" t="str">
        <f t="shared" si="277"/>
        <v>Y</v>
      </c>
      <c r="O899" s="1" t="str">
        <f t="shared" si="283"/>
        <v>Y</v>
      </c>
      <c r="P899" s="1" t="str">
        <f t="shared" si="272"/>
        <v>Y</v>
      </c>
      <c r="Q899" s="1" t="str">
        <f t="shared" si="287"/>
        <v>A</v>
      </c>
    </row>
    <row r="900" spans="1:17" x14ac:dyDescent="0.3">
      <c r="A900" s="1" t="str">
        <f t="shared" si="278"/>
        <v>C2</v>
      </c>
      <c r="B900" s="1" t="str">
        <f>"J0358"</f>
        <v>J0358</v>
      </c>
      <c r="C900" s="1" t="str">
        <f>"교감신경계 항진"</f>
        <v>교감신경계 항진</v>
      </c>
      <c r="D900" s="1" t="s">
        <v>305</v>
      </c>
      <c r="E900" s="1" t="str">
        <f>""</f>
        <v/>
      </c>
      <c r="F900" s="1" t="str">
        <f>"PTM04"</f>
        <v>PTM04</v>
      </c>
      <c r="G900" s="1" t="str">
        <f>""</f>
        <v/>
      </c>
      <c r="H900" s="1" t="str">
        <f>"REL21"</f>
        <v>REL21</v>
      </c>
      <c r="I900" s="1" t="str">
        <f>""</f>
        <v/>
      </c>
      <c r="J900" s="1" t="str">
        <f>""</f>
        <v/>
      </c>
      <c r="K900" s="1" t="str">
        <f>""</f>
        <v/>
      </c>
      <c r="L900" s="1" t="str">
        <f t="shared" si="284"/>
        <v>R</v>
      </c>
      <c r="M900" s="1" t="str">
        <f>""</f>
        <v/>
      </c>
      <c r="N900" s="1" t="str">
        <f t="shared" si="277"/>
        <v>Y</v>
      </c>
      <c r="O900" s="1" t="str">
        <f t="shared" si="283"/>
        <v>Y</v>
      </c>
      <c r="P900" s="1" t="str">
        <f t="shared" si="272"/>
        <v>Y</v>
      </c>
      <c r="Q900" s="1" t="str">
        <f t="shared" si="287"/>
        <v>A</v>
      </c>
    </row>
    <row r="901" spans="1:17" x14ac:dyDescent="0.3">
      <c r="A901" s="1" t="str">
        <f t="shared" si="278"/>
        <v>C2</v>
      </c>
      <c r="B901" s="1" t="str">
        <f>"J0359"</f>
        <v>J0359</v>
      </c>
      <c r="C901" s="1" t="str">
        <f>"부교감신경계 항진"</f>
        <v>부교감신경계 항진</v>
      </c>
      <c r="D901" s="1" t="s">
        <v>306</v>
      </c>
      <c r="E901" s="1" t="str">
        <f>"WOK02"</f>
        <v>WOK02</v>
      </c>
      <c r="F901" s="1" t="str">
        <f>"PTM04"</f>
        <v>PTM04</v>
      </c>
      <c r="G901" s="1" t="str">
        <f>""</f>
        <v/>
      </c>
      <c r="H901" s="1" t="str">
        <f>"REL21"</f>
        <v>REL21</v>
      </c>
      <c r="I901" s="1" t="str">
        <f>""</f>
        <v/>
      </c>
      <c r="J901" s="1" t="str">
        <f>""</f>
        <v/>
      </c>
      <c r="K901" s="1" t="str">
        <f>""</f>
        <v/>
      </c>
      <c r="L901" s="1" t="str">
        <f t="shared" si="284"/>
        <v>R</v>
      </c>
      <c r="M901" s="1" t="str">
        <f>""</f>
        <v/>
      </c>
      <c r="N901" s="1" t="str">
        <f t="shared" si="277"/>
        <v>Y</v>
      </c>
      <c r="O901" s="1" t="str">
        <f t="shared" si="283"/>
        <v>Y</v>
      </c>
      <c r="P901" s="1" t="str">
        <f t="shared" si="272"/>
        <v>Y</v>
      </c>
      <c r="Q901" s="1" t="str">
        <f t="shared" si="287"/>
        <v>A</v>
      </c>
    </row>
    <row r="902" spans="1:17" x14ac:dyDescent="0.3">
      <c r="A902" s="1" t="str">
        <f t="shared" si="278"/>
        <v>C2</v>
      </c>
      <c r="B902" s="1" t="str">
        <f>"J0372"</f>
        <v>J0372</v>
      </c>
      <c r="C902" s="1" t="str">
        <f>"비특이성 심전도소견"</f>
        <v>비특이성 심전도소견</v>
      </c>
      <c r="D902" s="1" t="str">
        <f>"심전도검사에서 비특이성 심전도 소견을 보입니다. 순환기내과 진료를 요합니다."</f>
        <v>심전도검사에서 비특이성 심전도 소견을 보입니다. 순환기내과 진료를 요합니다.</v>
      </c>
      <c r="E902" s="1" t="str">
        <f>"WOK02"</f>
        <v>WOK02</v>
      </c>
      <c r="F902" s="1" t="str">
        <f>"PTM03"</f>
        <v>PTM03</v>
      </c>
      <c r="G902" s="1" t="str">
        <f>"DISI"</f>
        <v>DISI</v>
      </c>
      <c r="H902" s="1" t="str">
        <f>"REL06"</f>
        <v>REL06</v>
      </c>
      <c r="I902" s="1" t="str">
        <f>""</f>
        <v/>
      </c>
      <c r="J902" s="1" t="str">
        <f>"C39C"</f>
        <v>C39C</v>
      </c>
      <c r="K902" s="1" t="str">
        <f>"C39C"</f>
        <v>C39C</v>
      </c>
      <c r="L902" s="1" t="str">
        <f t="shared" si="284"/>
        <v>R</v>
      </c>
      <c r="M902" s="1" t="str">
        <f>"T03"</f>
        <v>T03</v>
      </c>
      <c r="N902" s="1" t="str">
        <f t="shared" si="277"/>
        <v>Y</v>
      </c>
      <c r="O902" s="1" t="str">
        <f t="shared" si="283"/>
        <v>Y</v>
      </c>
      <c r="P902" s="1" t="str">
        <f t="shared" si="272"/>
        <v>Y</v>
      </c>
      <c r="Q902" s="1" t="str">
        <f t="shared" si="287"/>
        <v>A</v>
      </c>
    </row>
    <row r="903" spans="1:17" x14ac:dyDescent="0.3">
      <c r="A903" s="1" t="str">
        <f t="shared" si="278"/>
        <v>C2</v>
      </c>
      <c r="B903" s="1" t="str">
        <f>"J0373"</f>
        <v>J0373</v>
      </c>
      <c r="C903" s="1" t="str">
        <f>"심전도상 우심실비대 의심"</f>
        <v>심전도상 우심실비대 의심</v>
      </c>
      <c r="D903" s="1" t="s">
        <v>307</v>
      </c>
      <c r="E903" s="1" t="str">
        <f>""</f>
        <v/>
      </c>
      <c r="F903" s="1" t="str">
        <f>""</f>
        <v/>
      </c>
      <c r="G903" s="1" t="str">
        <f>""</f>
        <v/>
      </c>
      <c r="H903" s="1" t="str">
        <f>""</f>
        <v/>
      </c>
      <c r="I903" s="1" t="str">
        <f>""</f>
        <v/>
      </c>
      <c r="J903" s="1" t="str">
        <f>""</f>
        <v/>
      </c>
      <c r="K903" s="1" t="str">
        <f>""</f>
        <v/>
      </c>
      <c r="L903" s="1" t="str">
        <f t="shared" si="284"/>
        <v>R</v>
      </c>
      <c r="M903" s="1" t="str">
        <f>""</f>
        <v/>
      </c>
      <c r="N903" s="1" t="str">
        <f t="shared" si="277"/>
        <v>Y</v>
      </c>
      <c r="O903" s="1" t="str">
        <f t="shared" ref="O903:O937" si="289">"Y"</f>
        <v>Y</v>
      </c>
      <c r="P903" s="1" t="str">
        <f t="shared" si="272"/>
        <v>Y</v>
      </c>
      <c r="Q903" s="1" t="str">
        <f t="shared" si="287"/>
        <v>A</v>
      </c>
    </row>
    <row r="904" spans="1:17" x14ac:dyDescent="0.3">
      <c r="A904" s="1" t="str">
        <f t="shared" si="278"/>
        <v>C2</v>
      </c>
      <c r="B904" s="1" t="str">
        <f>"J0376"</f>
        <v>J0376</v>
      </c>
      <c r="C904" s="1" t="str">
        <f>"(좌측)비소음성난청주의"</f>
        <v>(좌측)비소음성난청주의</v>
      </c>
      <c r="D904" s="1" t="str">
        <f>"과거 외상이나 중이염 등 비소음성난청에 의한 청력손실이 관찰됩니다. 이상증상이 있을시 이비인후과 진료를 받으세요."</f>
        <v>과거 외상이나 중이염 등 비소음성난청에 의한 청력손실이 관찰됩니다. 이상증상이 있을시 이비인후과 진료를 받으세요.</v>
      </c>
      <c r="E904" s="1" t="str">
        <f>"WOK02"</f>
        <v>WOK02</v>
      </c>
      <c r="F904" s="1" t="str">
        <f>"PTM01"</f>
        <v>PTM01</v>
      </c>
      <c r="G904" s="1" t="str">
        <f>"DISH"</f>
        <v>DISH</v>
      </c>
      <c r="H904" s="1" t="str">
        <f>"REL19"</f>
        <v>REL19</v>
      </c>
      <c r="I904" s="1" t="str">
        <f>"01"</f>
        <v>01</v>
      </c>
      <c r="J904" s="1" t="str">
        <f>"C55C"</f>
        <v>C55C</v>
      </c>
      <c r="K904" s="1" t="str">
        <f>"C55C"</f>
        <v>C55C</v>
      </c>
      <c r="L904" s="1" t="str">
        <f t="shared" si="284"/>
        <v>R</v>
      </c>
      <c r="M904" s="1" t="str">
        <f>"T10"</f>
        <v>T10</v>
      </c>
      <c r="N904" s="1" t="str">
        <f t="shared" si="277"/>
        <v>Y</v>
      </c>
      <c r="O904" s="1" t="str">
        <f t="shared" si="289"/>
        <v>Y</v>
      </c>
      <c r="P904" s="1" t="str">
        <f t="shared" si="272"/>
        <v>Y</v>
      </c>
      <c r="Q904" s="1" t="str">
        <f>"L"</f>
        <v>L</v>
      </c>
    </row>
    <row r="905" spans="1:17" x14ac:dyDescent="0.3">
      <c r="A905" s="1" t="str">
        <f t="shared" si="278"/>
        <v>C2</v>
      </c>
      <c r="B905" s="1" t="str">
        <f>"J0420"</f>
        <v>J0420</v>
      </c>
      <c r="C905" s="1" t="str">
        <f>"교감신경계 과활성"</f>
        <v>교감신경계 과활성</v>
      </c>
      <c r="D905" s="1" t="s">
        <v>308</v>
      </c>
      <c r="E905" s="1" t="str">
        <f>""</f>
        <v/>
      </c>
      <c r="F905" s="1" t="str">
        <f>"PTM04"</f>
        <v>PTM04</v>
      </c>
      <c r="G905" s="1" t="str">
        <f>""</f>
        <v/>
      </c>
      <c r="H905" s="1" t="str">
        <f>"REL21"</f>
        <v>REL21</v>
      </c>
      <c r="I905" s="1" t="str">
        <f>""</f>
        <v/>
      </c>
      <c r="J905" s="1" t="str">
        <f>""</f>
        <v/>
      </c>
      <c r="K905" s="1" t="str">
        <f>""</f>
        <v/>
      </c>
      <c r="L905" s="1" t="str">
        <f t="shared" si="284"/>
        <v>R</v>
      </c>
      <c r="M905" s="1" t="str">
        <f>""</f>
        <v/>
      </c>
      <c r="N905" s="1" t="str">
        <f t="shared" si="277"/>
        <v>Y</v>
      </c>
      <c r="O905" s="1" t="str">
        <f t="shared" si="289"/>
        <v>Y</v>
      </c>
      <c r="P905" s="1" t="str">
        <f t="shared" si="272"/>
        <v>Y</v>
      </c>
      <c r="Q905" s="1" t="str">
        <f t="shared" ref="Q905:Q937" si="290">"A"</f>
        <v>A</v>
      </c>
    </row>
    <row r="906" spans="1:17" x14ac:dyDescent="0.3">
      <c r="A906" s="1" t="str">
        <f t="shared" si="278"/>
        <v>C2</v>
      </c>
      <c r="B906" s="1" t="str">
        <f>"J0421"</f>
        <v>J0421</v>
      </c>
      <c r="C906" s="1" t="str">
        <f>"부교감신경계 과활성"</f>
        <v>부교감신경계 과활성</v>
      </c>
      <c r="D906" s="1" t="s">
        <v>309</v>
      </c>
      <c r="E906" s="1" t="str">
        <f>""</f>
        <v/>
      </c>
      <c r="F906" s="1" t="str">
        <f>"PTM04"</f>
        <v>PTM04</v>
      </c>
      <c r="G906" s="1" t="str">
        <f>""</f>
        <v/>
      </c>
      <c r="H906" s="1" t="str">
        <f>"REL21"</f>
        <v>REL21</v>
      </c>
      <c r="I906" s="1" t="str">
        <f>""</f>
        <v/>
      </c>
      <c r="J906" s="1" t="str">
        <f>""</f>
        <v/>
      </c>
      <c r="K906" s="1" t="str">
        <f>""</f>
        <v/>
      </c>
      <c r="L906" s="1" t="str">
        <f t="shared" si="284"/>
        <v>R</v>
      </c>
      <c r="M906" s="1" t="str">
        <f>""</f>
        <v/>
      </c>
      <c r="N906" s="1" t="str">
        <f t="shared" si="277"/>
        <v>Y</v>
      </c>
      <c r="O906" s="1" t="str">
        <f t="shared" si="289"/>
        <v>Y</v>
      </c>
      <c r="P906" s="1" t="str">
        <f t="shared" ref="P906:P969" si="291">"Y"</f>
        <v>Y</v>
      </c>
      <c r="Q906" s="1" t="str">
        <f t="shared" si="290"/>
        <v>A</v>
      </c>
    </row>
    <row r="907" spans="1:17" x14ac:dyDescent="0.3">
      <c r="A907" s="1" t="str">
        <f t="shared" si="278"/>
        <v>C2</v>
      </c>
      <c r="B907" s="1" t="str">
        <f>"J0494"</f>
        <v>J0494</v>
      </c>
      <c r="C907" s="1" t="str">
        <f>"빈혈의심"</f>
        <v>빈혈의심</v>
      </c>
      <c r="D907" s="1" t="str">
        <f>"빈혈이 의심되니 빈혈에 대한 원인검사 및 치료를 위해 혈액내과 진료를 받으세요."</f>
        <v>빈혈이 의심되니 빈혈에 대한 원인검사 및 치료를 위해 혈액내과 진료를 받으세요.</v>
      </c>
      <c r="E907" s="1" t="str">
        <f>""</f>
        <v/>
      </c>
      <c r="F907" s="1" t="str">
        <f>""</f>
        <v/>
      </c>
      <c r="G907" s="1" t="str">
        <f>""</f>
        <v/>
      </c>
      <c r="H907" s="1" t="str">
        <f>""</f>
        <v/>
      </c>
      <c r="I907" s="1" t="str">
        <f>""</f>
        <v/>
      </c>
      <c r="J907" s="1" t="str">
        <f>""</f>
        <v/>
      </c>
      <c r="K907" s="1" t="str">
        <f>""</f>
        <v/>
      </c>
      <c r="L907" s="1" t="str">
        <f t="shared" si="284"/>
        <v>R</v>
      </c>
      <c r="M907" s="1" t="str">
        <f>""</f>
        <v/>
      </c>
      <c r="N907" s="1" t="str">
        <f t="shared" si="277"/>
        <v>Y</v>
      </c>
      <c r="O907" s="1" t="str">
        <f t="shared" si="289"/>
        <v>Y</v>
      </c>
      <c r="P907" s="1" t="str">
        <f t="shared" si="291"/>
        <v>Y</v>
      </c>
      <c r="Q907" s="1" t="str">
        <f t="shared" si="290"/>
        <v>A</v>
      </c>
    </row>
    <row r="908" spans="1:17" x14ac:dyDescent="0.3">
      <c r="A908" s="1" t="str">
        <f t="shared" si="278"/>
        <v>C2</v>
      </c>
      <c r="B908" s="1" t="str">
        <f>"L032002"</f>
        <v>L032002</v>
      </c>
      <c r="C908" s="1" t="str">
        <f>"B형간염보균 추정"</f>
        <v>B형간염보균 추정</v>
      </c>
      <c r="D908" s="1" t="s">
        <v>310</v>
      </c>
      <c r="E908" s="1" t="str">
        <f>"WOK02"</f>
        <v>WOK02</v>
      </c>
      <c r="F908" s="1" t="str">
        <f>""</f>
        <v/>
      </c>
      <c r="G908" s="1" t="str">
        <f>"DISB"</f>
        <v>DISB</v>
      </c>
      <c r="H908" s="1" t="str">
        <f>"REL05"</f>
        <v>REL05</v>
      </c>
      <c r="I908" s="1" t="str">
        <f>""</f>
        <v/>
      </c>
      <c r="J908" s="1" t="str">
        <f>"C05C"</f>
        <v>C05C</v>
      </c>
      <c r="K908" s="1" t="str">
        <f>"C05C"</f>
        <v>C05C</v>
      </c>
      <c r="L908" s="1" t="str">
        <f t="shared" si="284"/>
        <v>R</v>
      </c>
      <c r="M908" s="1" t="str">
        <f>"T02"</f>
        <v>T02</v>
      </c>
      <c r="N908" s="1" t="str">
        <f t="shared" si="277"/>
        <v>Y</v>
      </c>
      <c r="O908" s="1" t="str">
        <f t="shared" si="289"/>
        <v>Y</v>
      </c>
      <c r="P908" s="1" t="str">
        <f t="shared" si="291"/>
        <v>Y</v>
      </c>
      <c r="Q908" s="1" t="str">
        <f t="shared" si="290"/>
        <v>A</v>
      </c>
    </row>
    <row r="909" spans="1:17" x14ac:dyDescent="0.3">
      <c r="A909" s="1" t="str">
        <f t="shared" si="278"/>
        <v>C2</v>
      </c>
      <c r="B909" s="1" t="str">
        <f>"L241102"</f>
        <v>L241102</v>
      </c>
      <c r="C909" s="1" t="str">
        <f>"고지혈증주의 (총콜레스테롤 상승)"</f>
        <v>고지혈증주의 (총콜레스테롤 상승)</v>
      </c>
      <c r="D909" s="1" t="str">
        <f>"혈중 총콜레스테롤이 정상범위보다 높습니다. 혈압이 높거나 혈당이 높은 경우에는 약물치료가 필요한 경우도 있으니 내원 상담바랍니다. 3개월 후에 다시 검사하시기 바랍니다."</f>
        <v>혈중 총콜레스테롤이 정상범위보다 높습니다. 혈압이 높거나 혈당이 높은 경우에는 약물치료가 필요한 경우도 있으니 내원 상담바랍니다. 3개월 후에 다시 검사하시기 바랍니다.</v>
      </c>
      <c r="E909" s="1" t="str">
        <f>""</f>
        <v/>
      </c>
      <c r="F909" s="1" t="str">
        <f>""</f>
        <v/>
      </c>
      <c r="G909" s="1" t="str">
        <f>""</f>
        <v/>
      </c>
      <c r="H909" s="1" t="str">
        <f>""</f>
        <v/>
      </c>
      <c r="I909" s="1" t="str">
        <f>""</f>
        <v/>
      </c>
      <c r="J909" s="1" t="str">
        <f>""</f>
        <v/>
      </c>
      <c r="K909" s="1" t="str">
        <f>""</f>
        <v/>
      </c>
      <c r="L909" s="1" t="str">
        <f t="shared" ref="L909:L940" si="292">"R"</f>
        <v>R</v>
      </c>
      <c r="M909" s="1" t="str">
        <f>""</f>
        <v/>
      </c>
      <c r="N909" s="1" t="str">
        <f t="shared" si="277"/>
        <v>Y</v>
      </c>
      <c r="O909" s="1" t="str">
        <f t="shared" si="289"/>
        <v>Y</v>
      </c>
      <c r="P909" s="1" t="str">
        <f t="shared" si="291"/>
        <v>Y</v>
      </c>
      <c r="Q909" s="1" t="str">
        <f t="shared" si="290"/>
        <v>A</v>
      </c>
    </row>
    <row r="910" spans="1:17" x14ac:dyDescent="0.3">
      <c r="A910" s="1" t="str">
        <f t="shared" si="278"/>
        <v>C2</v>
      </c>
      <c r="B910" s="1" t="str">
        <f>"L244301"</f>
        <v>L244301</v>
      </c>
      <c r="C910" s="1" t="str">
        <f>"고지혈증주의 (중성지방 상승)"</f>
        <v>고지혈증주의 (중성지방 상승)</v>
      </c>
      <c r="D910" s="1" t="str">
        <f>"혈중 중성지방이 증가되어 있습니다. 혈중 중성지방은 대부분 섭취한 음식과 관련이 있습니다. 육류 등 지방 뿐만 아니라 쌀밥이나 밀가루 음식과 같은 탄수화물도 과도섭취하면 중성지방치가 높아집니다. 식이조절과 운동을 권합니다."</f>
        <v>혈중 중성지방이 증가되어 있습니다. 혈중 중성지방은 대부분 섭취한 음식과 관련이 있습니다. 육류 등 지방 뿐만 아니라 쌀밥이나 밀가루 음식과 같은 탄수화물도 과도섭취하면 중성지방치가 높아집니다. 식이조절과 운동을 권합니다.</v>
      </c>
      <c r="E910" s="1" t="str">
        <f>""</f>
        <v/>
      </c>
      <c r="F910" s="1" t="str">
        <f>""</f>
        <v/>
      </c>
      <c r="G910" s="1" t="str">
        <f>""</f>
        <v/>
      </c>
      <c r="H910" s="1" t="str">
        <f>""</f>
        <v/>
      </c>
      <c r="I910" s="1" t="str">
        <f>""</f>
        <v/>
      </c>
      <c r="J910" s="1" t="str">
        <f>""</f>
        <v/>
      </c>
      <c r="K910" s="1" t="str">
        <f>""</f>
        <v/>
      </c>
      <c r="L910" s="1" t="str">
        <f t="shared" si="292"/>
        <v>R</v>
      </c>
      <c r="M910" s="1" t="str">
        <f>""</f>
        <v/>
      </c>
      <c r="N910" s="1" t="str">
        <f t="shared" si="277"/>
        <v>Y</v>
      </c>
      <c r="O910" s="1" t="str">
        <f t="shared" si="289"/>
        <v>Y</v>
      </c>
      <c r="P910" s="1" t="str">
        <f t="shared" si="291"/>
        <v>Y</v>
      </c>
      <c r="Q910" s="1" t="str">
        <f t="shared" si="290"/>
        <v>A</v>
      </c>
    </row>
    <row r="911" spans="1:17" x14ac:dyDescent="0.3">
      <c r="A911" s="1" t="str">
        <f t="shared" si="278"/>
        <v>C2</v>
      </c>
      <c r="B911" s="1" t="str">
        <f>"L257002"</f>
        <v>L257002</v>
      </c>
      <c r="C911" s="1" t="str">
        <f>"간질환의심"</f>
        <v>간질환의심</v>
      </c>
      <c r="D911" s="1" t="str">
        <f>"혈액내의 간효소가 증가되어 간기능 저하가 의심됩니다. 일단 재검사를 통하여 간효소치의 상승을 확인한 후 정밀검사를 받아보시기 바랍니다. 내원하셔서 상담하시기 바랍니다."</f>
        <v>혈액내의 간효소가 증가되어 간기능 저하가 의심됩니다. 일단 재검사를 통하여 간효소치의 상승을 확인한 후 정밀검사를 받아보시기 바랍니다. 내원하셔서 상담하시기 바랍니다.</v>
      </c>
      <c r="E911" s="1" t="str">
        <f>""</f>
        <v/>
      </c>
      <c r="F911" s="1" t="str">
        <f>""</f>
        <v/>
      </c>
      <c r="G911" s="1" t="str">
        <f>""</f>
        <v/>
      </c>
      <c r="H911" s="1" t="str">
        <f>""</f>
        <v/>
      </c>
      <c r="I911" s="1" t="str">
        <f>""</f>
        <v/>
      </c>
      <c r="J911" s="1" t="str">
        <f>""</f>
        <v/>
      </c>
      <c r="K911" s="1" t="str">
        <f>""</f>
        <v/>
      </c>
      <c r="L911" s="1" t="str">
        <f t="shared" si="292"/>
        <v>R</v>
      </c>
      <c r="M911" s="1" t="str">
        <f>""</f>
        <v/>
      </c>
      <c r="N911" s="1" t="str">
        <f t="shared" si="277"/>
        <v>Y</v>
      </c>
      <c r="O911" s="1" t="str">
        <f t="shared" si="289"/>
        <v>Y</v>
      </c>
      <c r="P911" s="1" t="str">
        <f t="shared" si="291"/>
        <v>Y</v>
      </c>
      <c r="Q911" s="1" t="str">
        <f t="shared" si="290"/>
        <v>A</v>
      </c>
    </row>
    <row r="912" spans="1:17" x14ac:dyDescent="0.3">
      <c r="A912" s="1" t="str">
        <f t="shared" si="278"/>
        <v>C2</v>
      </c>
      <c r="B912" s="1" t="str">
        <f>"L257002H"</f>
        <v>L257002H</v>
      </c>
      <c r="C912" s="1" t="str">
        <f>"간질환의심"</f>
        <v>간질환의심</v>
      </c>
      <c r="D912" s="1" t="str">
        <f>"혈액내의 간효소가 증가되어 간기능 저하가 의심됩니다. 일단 재검사를 통하여 간효소치의 상승을 확인한 후 정밀검사를 받아보시기 바랍니다. 내원하셔서 상담하시기 바랍니다."</f>
        <v>혈액내의 간효소가 증가되어 간기능 저하가 의심됩니다. 일단 재검사를 통하여 간효소치의 상승을 확인한 후 정밀검사를 받아보시기 바랍니다. 내원하셔서 상담하시기 바랍니다.</v>
      </c>
      <c r="E912" s="1" t="str">
        <f>""</f>
        <v/>
      </c>
      <c r="F912" s="1" t="str">
        <f>""</f>
        <v/>
      </c>
      <c r="G912" s="1" t="str">
        <f>""</f>
        <v/>
      </c>
      <c r="H912" s="1" t="str">
        <f>""</f>
        <v/>
      </c>
      <c r="I912" s="1" t="str">
        <f>""</f>
        <v/>
      </c>
      <c r="J912" s="1" t="str">
        <f>""</f>
        <v/>
      </c>
      <c r="K912" s="1" t="str">
        <f>""</f>
        <v/>
      </c>
      <c r="L912" s="1" t="str">
        <f t="shared" si="292"/>
        <v>R</v>
      </c>
      <c r="M912" s="1" t="str">
        <f>""</f>
        <v/>
      </c>
      <c r="N912" s="1" t="str">
        <f t="shared" si="277"/>
        <v>Y</v>
      </c>
      <c r="O912" s="1" t="str">
        <f t="shared" si="289"/>
        <v>Y</v>
      </c>
      <c r="P912" s="1" t="str">
        <f t="shared" si="291"/>
        <v>Y</v>
      </c>
      <c r="Q912" s="1" t="str">
        <f t="shared" si="290"/>
        <v>A</v>
      </c>
    </row>
    <row r="913" spans="1:17" x14ac:dyDescent="0.3">
      <c r="A913" s="1" t="str">
        <f t="shared" si="278"/>
        <v>C2</v>
      </c>
      <c r="B913" s="1" t="str">
        <f>"L259001"</f>
        <v>L259001</v>
      </c>
      <c r="C913" s="1" t="str">
        <f>"유산탈수효소 증가"</f>
        <v>유산탈수효소 증가</v>
      </c>
      <c r="D913" s="1" t="str">
        <f>"혈액검사상 유산탈수소효소(LDH)치가 상승하였습니다. 보조지표로서 평소보다 많은 신체활동 등에 의해 건강인에서도 흔히 상승하므로 단독상승으로는 큰 의미가 없습니다."</f>
        <v>혈액검사상 유산탈수소효소(LDH)치가 상승하였습니다. 보조지표로서 평소보다 많은 신체활동 등에 의해 건강인에서도 흔히 상승하므로 단독상승으로는 큰 의미가 없습니다.</v>
      </c>
      <c r="E913" s="1" t="str">
        <f>""</f>
        <v/>
      </c>
      <c r="F913" s="1" t="str">
        <f>""</f>
        <v/>
      </c>
      <c r="G913" s="1" t="str">
        <f>""</f>
        <v/>
      </c>
      <c r="H913" s="1" t="str">
        <f>""</f>
        <v/>
      </c>
      <c r="I913" s="1" t="str">
        <f>""</f>
        <v/>
      </c>
      <c r="J913" s="1" t="str">
        <f>""</f>
        <v/>
      </c>
      <c r="K913" s="1" t="str">
        <f>""</f>
        <v/>
      </c>
      <c r="L913" s="1" t="str">
        <f t="shared" si="292"/>
        <v>R</v>
      </c>
      <c r="M913" s="1" t="str">
        <f>""</f>
        <v/>
      </c>
      <c r="N913" s="1" t="str">
        <f t="shared" si="277"/>
        <v>Y</v>
      </c>
      <c r="O913" s="1" t="str">
        <f t="shared" si="289"/>
        <v>Y</v>
      </c>
      <c r="P913" s="1" t="str">
        <f t="shared" si="291"/>
        <v>Y</v>
      </c>
      <c r="Q913" s="1" t="str">
        <f t="shared" si="290"/>
        <v>A</v>
      </c>
    </row>
    <row r="914" spans="1:17" x14ac:dyDescent="0.3">
      <c r="A914" s="1" t="str">
        <f t="shared" si="278"/>
        <v>C2</v>
      </c>
      <c r="B914" s="1" t="str">
        <f>"L259002"</f>
        <v>L259002</v>
      </c>
      <c r="C914" s="1" t="str">
        <f>"유산탈수효소 감소"</f>
        <v>유산탈수효소 감소</v>
      </c>
      <c r="D914" s="1" t="str">
        <f>"혈액검사상 유산탈수소효소(LDH)치가 감소하였습니다. 보조지표로서 단독 감소로는 큰 의미가 없습니다. 추후 정기검진을 통해서 수치변화 여부를 확인하시기 바랍니다."</f>
        <v>혈액검사상 유산탈수소효소(LDH)치가 감소하였습니다. 보조지표로서 단독 감소로는 큰 의미가 없습니다. 추후 정기검진을 통해서 수치변화 여부를 확인하시기 바랍니다.</v>
      </c>
      <c r="E914" s="1" t="str">
        <f>""</f>
        <v/>
      </c>
      <c r="F914" s="1" t="str">
        <f>""</f>
        <v/>
      </c>
      <c r="G914" s="1" t="str">
        <f>""</f>
        <v/>
      </c>
      <c r="H914" s="1" t="str">
        <f>""</f>
        <v/>
      </c>
      <c r="I914" s="1" t="str">
        <f>""</f>
        <v/>
      </c>
      <c r="J914" s="1" t="str">
        <f>""</f>
        <v/>
      </c>
      <c r="K914" s="1" t="str">
        <f>""</f>
        <v/>
      </c>
      <c r="L914" s="1" t="str">
        <f t="shared" si="292"/>
        <v>R</v>
      </c>
      <c r="M914" s="1" t="str">
        <f>""</f>
        <v/>
      </c>
      <c r="N914" s="1" t="str">
        <f t="shared" si="277"/>
        <v>Y</v>
      </c>
      <c r="O914" s="1" t="str">
        <f t="shared" si="289"/>
        <v>Y</v>
      </c>
      <c r="P914" s="1" t="str">
        <f t="shared" si="291"/>
        <v>Y</v>
      </c>
      <c r="Q914" s="1" t="str">
        <f t="shared" si="290"/>
        <v>A</v>
      </c>
    </row>
    <row r="915" spans="1:17" x14ac:dyDescent="0.3">
      <c r="A915" s="1" t="str">
        <f t="shared" si="278"/>
        <v>C2</v>
      </c>
      <c r="B915" s="1" t="str">
        <f>"L371102"</f>
        <v>L371102</v>
      </c>
      <c r="C915" s="1" t="str">
        <f>"당뇨주의"</f>
        <v>당뇨주의</v>
      </c>
      <c r="D915" s="1" t="str">
        <f>"이번에 측정한 혈당검사 결과가 엄격한 공복 상태에서 채혈된 것이라면 당뇨병을 의심할 수 있습니다. 내분비내과 진료를 받으시어 치료필요성에 대해 상의하시기 바랍니다."</f>
        <v>이번에 측정한 혈당검사 결과가 엄격한 공복 상태에서 채혈된 것이라면 당뇨병을 의심할 수 있습니다. 내분비내과 진료를 받으시어 치료필요성에 대해 상의하시기 바랍니다.</v>
      </c>
      <c r="E915" s="1" t="str">
        <f>""</f>
        <v/>
      </c>
      <c r="F915" s="1" t="str">
        <f>""</f>
        <v/>
      </c>
      <c r="G915" s="1" t="str">
        <f>""</f>
        <v/>
      </c>
      <c r="H915" s="1" t="str">
        <f>""</f>
        <v/>
      </c>
      <c r="I915" s="1" t="str">
        <f>""</f>
        <v/>
      </c>
      <c r="J915" s="1" t="str">
        <f>""</f>
        <v/>
      </c>
      <c r="K915" s="1" t="str">
        <f>""</f>
        <v/>
      </c>
      <c r="L915" s="1" t="str">
        <f t="shared" si="292"/>
        <v>R</v>
      </c>
      <c r="M915" s="1" t="str">
        <f>""</f>
        <v/>
      </c>
      <c r="N915" s="1" t="str">
        <f t="shared" si="277"/>
        <v>Y</v>
      </c>
      <c r="O915" s="1" t="str">
        <f t="shared" si="289"/>
        <v>Y</v>
      </c>
      <c r="P915" s="1" t="str">
        <f t="shared" si="291"/>
        <v>Y</v>
      </c>
      <c r="Q915" s="1" t="str">
        <f t="shared" si="290"/>
        <v>A</v>
      </c>
    </row>
    <row r="916" spans="1:17" x14ac:dyDescent="0.3">
      <c r="A916" s="1" t="str">
        <f t="shared" si="278"/>
        <v>C2</v>
      </c>
      <c r="B916" s="1" t="str">
        <f>"L378001"</f>
        <v>L378001</v>
      </c>
      <c r="C916" s="1" t="str">
        <f>"혈중 요산 상승"</f>
        <v>혈중 요산 상승</v>
      </c>
      <c r="D916" s="1" t="str">
        <f>"혈중요산치가 높습니다. 통풍이라는 병과 동반되어 나타난 결과일 가능성이 있으나 육류를 많이 섭취하여 나타난 일시적인 현상일 가능성도 있습니다. 관절통 등의 증상이 있다면 내과 진료를 받아보시기 바랍니다."</f>
        <v>혈중요산치가 높습니다. 통풍이라는 병과 동반되어 나타난 결과일 가능성이 있으나 육류를 많이 섭취하여 나타난 일시적인 현상일 가능성도 있습니다. 관절통 등의 증상이 있다면 내과 진료를 받아보시기 바랍니다.</v>
      </c>
      <c r="E916" s="1" t="str">
        <f>""</f>
        <v/>
      </c>
      <c r="F916" s="1" t="str">
        <f>""</f>
        <v/>
      </c>
      <c r="G916" s="1" t="str">
        <f>""</f>
        <v/>
      </c>
      <c r="H916" s="1" t="str">
        <f>""</f>
        <v/>
      </c>
      <c r="I916" s="1" t="str">
        <f>""</f>
        <v/>
      </c>
      <c r="J916" s="1" t="str">
        <f>""</f>
        <v/>
      </c>
      <c r="K916" s="1" t="str">
        <f>""</f>
        <v/>
      </c>
      <c r="L916" s="1" t="str">
        <f t="shared" si="292"/>
        <v>R</v>
      </c>
      <c r="M916" s="1" t="str">
        <f>""</f>
        <v/>
      </c>
      <c r="N916" s="1" t="str">
        <f t="shared" si="277"/>
        <v>Y</v>
      </c>
      <c r="O916" s="1" t="str">
        <f t="shared" si="289"/>
        <v>Y</v>
      </c>
      <c r="P916" s="1" t="str">
        <f t="shared" si="291"/>
        <v>Y</v>
      </c>
      <c r="Q916" s="1" t="str">
        <f t="shared" si="290"/>
        <v>A</v>
      </c>
    </row>
    <row r="917" spans="1:17" x14ac:dyDescent="0.3">
      <c r="A917" s="1" t="str">
        <f t="shared" si="278"/>
        <v>C2</v>
      </c>
      <c r="B917" s="1" t="str">
        <f>"LEK301"</f>
        <v>LEK301</v>
      </c>
      <c r="C917" s="1" t="str">
        <f>"백혈구수증가주의"</f>
        <v>백혈구수증가주의</v>
      </c>
      <c r="D917" s="1" t="str">
        <f>"일반혈액검사에서 경도의 백혈구 수치 증가 소견이 있습니다. 특별한 증상이 없다면 경과 관찰하시고 다음 정기검진시 변화 여부를 확인하시기 바랍니다."</f>
        <v>일반혈액검사에서 경도의 백혈구 수치 증가 소견이 있습니다. 특별한 증상이 없다면 경과 관찰하시고 다음 정기검진시 변화 여부를 확인하시기 바랍니다.</v>
      </c>
      <c r="E917" s="1" t="str">
        <f t="shared" ref="E917:E936" si="293">"WOK02"</f>
        <v>WOK02</v>
      </c>
      <c r="F917" s="1" t="str">
        <f>"PTM01"</f>
        <v>PTM01</v>
      </c>
      <c r="G917" s="1" t="str">
        <f t="shared" ref="G917:G922" si="294">"DISD"</f>
        <v>DISD</v>
      </c>
      <c r="H917" s="1" t="str">
        <f t="shared" ref="H917:H922" si="295">"REL12"</f>
        <v>REL12</v>
      </c>
      <c r="I917" s="1" t="str">
        <f>""</f>
        <v/>
      </c>
      <c r="J917" s="1" t="str">
        <f>"C31C"</f>
        <v>C31C</v>
      </c>
      <c r="K917" s="1" t="str">
        <f>"C31C"</f>
        <v>C31C</v>
      </c>
      <c r="L917" s="1" t="str">
        <f t="shared" si="292"/>
        <v>R</v>
      </c>
      <c r="M917" s="1" t="str">
        <f t="shared" ref="M917:M922" si="296">"T01"</f>
        <v>T01</v>
      </c>
      <c r="N917" s="1" t="str">
        <f t="shared" si="277"/>
        <v>Y</v>
      </c>
      <c r="O917" s="1" t="str">
        <f t="shared" si="289"/>
        <v>Y</v>
      </c>
      <c r="P917" s="1" t="str">
        <f t="shared" si="291"/>
        <v>Y</v>
      </c>
      <c r="Q917" s="1" t="str">
        <f t="shared" si="290"/>
        <v>A</v>
      </c>
    </row>
    <row r="918" spans="1:17" x14ac:dyDescent="0.3">
      <c r="A918" s="1" t="str">
        <f t="shared" si="278"/>
        <v>C2</v>
      </c>
      <c r="B918" s="1" t="str">
        <f>"LEK302"</f>
        <v>LEK302</v>
      </c>
      <c r="C918" s="1" t="str">
        <f>"경미한 백혈구 감소"</f>
        <v>경미한 백혈구 감소</v>
      </c>
      <c r="D918" s="1" t="str">
        <f>"백혈구 수가 경미하게 감소하였습니다. 발열 등의 증상 있는 경우 혈액내과 진료 바랍니다."</f>
        <v>백혈구 수가 경미하게 감소하였습니다. 발열 등의 증상 있는 경우 혈액내과 진료 바랍니다.</v>
      </c>
      <c r="E918" s="1" t="str">
        <f t="shared" si="293"/>
        <v>WOK02</v>
      </c>
      <c r="F918" s="1" t="str">
        <f>"PTM03"</f>
        <v>PTM03</v>
      </c>
      <c r="G918" s="1" t="str">
        <f t="shared" si="294"/>
        <v>DISD</v>
      </c>
      <c r="H918" s="1" t="str">
        <f t="shared" si="295"/>
        <v>REL12</v>
      </c>
      <c r="I918" s="1" t="str">
        <f>""</f>
        <v/>
      </c>
      <c r="J918" s="1" t="str">
        <f>"C34C"</f>
        <v>C34C</v>
      </c>
      <c r="K918" s="1" t="str">
        <f>"C34C"</f>
        <v>C34C</v>
      </c>
      <c r="L918" s="1" t="str">
        <f t="shared" si="292"/>
        <v>R</v>
      </c>
      <c r="M918" s="1" t="str">
        <f t="shared" si="296"/>
        <v>T01</v>
      </c>
      <c r="N918" s="1" t="str">
        <f t="shared" si="277"/>
        <v>Y</v>
      </c>
      <c r="O918" s="1" t="str">
        <f t="shared" si="289"/>
        <v>Y</v>
      </c>
      <c r="P918" s="1" t="str">
        <f t="shared" si="291"/>
        <v>Y</v>
      </c>
      <c r="Q918" s="1" t="str">
        <f t="shared" si="290"/>
        <v>A</v>
      </c>
    </row>
    <row r="919" spans="1:17" x14ac:dyDescent="0.3">
      <c r="A919" s="1" t="str">
        <f t="shared" si="278"/>
        <v>C2</v>
      </c>
      <c r="B919" s="1" t="str">
        <f>"LEK303"</f>
        <v>LEK303</v>
      </c>
      <c r="C919" s="1" t="str">
        <f>"백혈구 수 이상"</f>
        <v>백혈구 수 이상</v>
      </c>
      <c r="D919" s="1" t="s">
        <v>311</v>
      </c>
      <c r="E919" s="1" t="str">
        <f t="shared" si="293"/>
        <v>WOK02</v>
      </c>
      <c r="F919" s="1" t="str">
        <f>"PTM03"</f>
        <v>PTM03</v>
      </c>
      <c r="G919" s="1" t="str">
        <f t="shared" si="294"/>
        <v>DISD</v>
      </c>
      <c r="H919" s="1" t="str">
        <f t="shared" si="295"/>
        <v>REL12</v>
      </c>
      <c r="I919" s="1" t="str">
        <f>""</f>
        <v/>
      </c>
      <c r="J919" s="1" t="str">
        <f>"C31C"</f>
        <v>C31C</v>
      </c>
      <c r="K919" s="1" t="str">
        <f>"C31C"</f>
        <v>C31C</v>
      </c>
      <c r="L919" s="1" t="str">
        <f t="shared" si="292"/>
        <v>R</v>
      </c>
      <c r="M919" s="1" t="str">
        <f t="shared" si="296"/>
        <v>T01</v>
      </c>
      <c r="N919" s="1" t="str">
        <f t="shared" si="277"/>
        <v>Y</v>
      </c>
      <c r="O919" s="1" t="str">
        <f t="shared" si="289"/>
        <v>Y</v>
      </c>
      <c r="P919" s="1" t="str">
        <f t="shared" si="291"/>
        <v>Y</v>
      </c>
      <c r="Q919" s="1" t="str">
        <f t="shared" si="290"/>
        <v>A</v>
      </c>
    </row>
    <row r="920" spans="1:17" x14ac:dyDescent="0.3">
      <c r="A920" s="1" t="str">
        <f t="shared" si="278"/>
        <v>C2</v>
      </c>
      <c r="B920" s="1" t="str">
        <f>"LEK5017"</f>
        <v>LEK5017</v>
      </c>
      <c r="C920" s="1" t="str">
        <f>"조혈기계 질환주의(망상적혈구 증가)"</f>
        <v>조혈기계 질환주의(망상적혈구 증가)</v>
      </c>
      <c r="D920" s="1" t="str">
        <f>"망상적혈구는 빈혈이 있거나 여러 원인에 의해 증가할 수 있으며 정상인에게서도 일시적으로 증가할 수 있습니다. 다른 조혈기 검사가 정상이므로 이것만으로 진단적인 의미는 없습니다."</f>
        <v>망상적혈구는 빈혈이 있거나 여러 원인에 의해 증가할 수 있으며 정상인에게서도 일시적으로 증가할 수 있습니다. 다른 조혈기 검사가 정상이므로 이것만으로 진단적인 의미는 없습니다.</v>
      </c>
      <c r="E920" s="1" t="str">
        <f t="shared" si="293"/>
        <v>WOK02</v>
      </c>
      <c r="F920" s="1" t="str">
        <f>"PTM01"</f>
        <v>PTM01</v>
      </c>
      <c r="G920" s="1" t="str">
        <f t="shared" si="294"/>
        <v>DISD</v>
      </c>
      <c r="H920" s="1" t="str">
        <f t="shared" si="295"/>
        <v>REL12</v>
      </c>
      <c r="I920" s="1" t="str">
        <f>""</f>
        <v/>
      </c>
      <c r="J920" s="1" t="str">
        <f t="shared" ref="J920:K922" si="297">"C34C"</f>
        <v>C34C</v>
      </c>
      <c r="K920" s="1" t="str">
        <f t="shared" si="297"/>
        <v>C34C</v>
      </c>
      <c r="L920" s="1" t="str">
        <f t="shared" si="292"/>
        <v>R</v>
      </c>
      <c r="M920" s="1" t="str">
        <f t="shared" si="296"/>
        <v>T01</v>
      </c>
      <c r="N920" s="1" t="str">
        <f t="shared" si="277"/>
        <v>Y</v>
      </c>
      <c r="O920" s="1" t="str">
        <f t="shared" si="289"/>
        <v>Y</v>
      </c>
      <c r="P920" s="1" t="str">
        <f t="shared" si="291"/>
        <v>Y</v>
      </c>
      <c r="Q920" s="1" t="str">
        <f t="shared" si="290"/>
        <v>A</v>
      </c>
    </row>
    <row r="921" spans="1:17" x14ac:dyDescent="0.3">
      <c r="A921" s="1" t="str">
        <f t="shared" si="278"/>
        <v>C2</v>
      </c>
      <c r="B921" s="1" t="str">
        <f>"LEK5017B"</f>
        <v>LEK5017B</v>
      </c>
      <c r="C921" s="1" t="str">
        <f>"경미한 망상적혈구 증가"</f>
        <v>경미한 망상적혈구 증가</v>
      </c>
      <c r="D921" s="1" t="s">
        <v>312</v>
      </c>
      <c r="E921" s="1" t="str">
        <f t="shared" si="293"/>
        <v>WOK02</v>
      </c>
      <c r="F921" s="1" t="str">
        <f>"PTM01"</f>
        <v>PTM01</v>
      </c>
      <c r="G921" s="1" t="str">
        <f t="shared" si="294"/>
        <v>DISD</v>
      </c>
      <c r="H921" s="1" t="str">
        <f t="shared" si="295"/>
        <v>REL12</v>
      </c>
      <c r="I921" s="1" t="str">
        <f>""</f>
        <v/>
      </c>
      <c r="J921" s="1" t="str">
        <f t="shared" si="297"/>
        <v>C34C</v>
      </c>
      <c r="K921" s="1" t="str">
        <f t="shared" si="297"/>
        <v>C34C</v>
      </c>
      <c r="L921" s="1" t="str">
        <f t="shared" si="292"/>
        <v>R</v>
      </c>
      <c r="M921" s="1" t="str">
        <f t="shared" si="296"/>
        <v>T01</v>
      </c>
      <c r="N921" s="1" t="str">
        <f t="shared" si="277"/>
        <v>Y</v>
      </c>
      <c r="O921" s="1" t="str">
        <f t="shared" si="289"/>
        <v>Y</v>
      </c>
      <c r="P921" s="1" t="str">
        <f t="shared" si="291"/>
        <v>Y</v>
      </c>
      <c r="Q921" s="1" t="str">
        <f t="shared" si="290"/>
        <v>A</v>
      </c>
    </row>
    <row r="922" spans="1:17" x14ac:dyDescent="0.3">
      <c r="A922" s="1" t="str">
        <f t="shared" si="278"/>
        <v>C2</v>
      </c>
      <c r="B922" s="1" t="str">
        <f>"LEK501B"</f>
        <v>LEK501B</v>
      </c>
      <c r="C922" s="1" t="str">
        <f>"망상적혈구 감소"</f>
        <v>망상적혈구 감소</v>
      </c>
      <c r="D922" s="1" t="str">
        <f>"여러 원인에 의해 발생 가능. 작업시 철저한 보호구 착용 및 환기 필요. 이상 증상이 있을 경우 내과 진료 필요."</f>
        <v>여러 원인에 의해 발생 가능. 작업시 철저한 보호구 착용 및 환기 필요. 이상 증상이 있을 경우 내과 진료 필요.</v>
      </c>
      <c r="E922" s="1" t="str">
        <f t="shared" si="293"/>
        <v>WOK02</v>
      </c>
      <c r="F922" s="1" t="str">
        <f>"PTM01"</f>
        <v>PTM01</v>
      </c>
      <c r="G922" s="1" t="str">
        <f t="shared" si="294"/>
        <v>DISD</v>
      </c>
      <c r="H922" s="1" t="str">
        <f t="shared" si="295"/>
        <v>REL12</v>
      </c>
      <c r="I922" s="1" t="str">
        <f>""</f>
        <v/>
      </c>
      <c r="J922" s="1" t="str">
        <f t="shared" si="297"/>
        <v>C34C</v>
      </c>
      <c r="K922" s="1" t="str">
        <f t="shared" si="297"/>
        <v>C34C</v>
      </c>
      <c r="L922" s="1" t="str">
        <f t="shared" si="292"/>
        <v>R</v>
      </c>
      <c r="M922" s="1" t="str">
        <f t="shared" si="296"/>
        <v>T01</v>
      </c>
      <c r="N922" s="1" t="str">
        <f t="shared" si="277"/>
        <v>Y</v>
      </c>
      <c r="O922" s="1" t="str">
        <f t="shared" si="289"/>
        <v>Y</v>
      </c>
      <c r="P922" s="1" t="str">
        <f t="shared" si="291"/>
        <v>Y</v>
      </c>
      <c r="Q922" s="1" t="str">
        <f t="shared" si="290"/>
        <v>A</v>
      </c>
    </row>
    <row r="923" spans="1:17" x14ac:dyDescent="0.3">
      <c r="A923" s="1" t="str">
        <f t="shared" si="278"/>
        <v>C2</v>
      </c>
      <c r="B923" s="1" t="str">
        <f>"LIP301"</f>
        <v>LIP301</v>
      </c>
      <c r="C923" s="1" t="str">
        <f>"고지혈증 주의"</f>
        <v>고지혈증 주의</v>
      </c>
      <c r="D923" s="1" t="str">
        <f>"콜레스테롤이 약간 증가했습니다. 식이요법과 운동으로 혈중 콜레스테롤 농도가 증가하지 않도록 조심하세요."</f>
        <v>콜레스테롤이 약간 증가했습니다. 식이요법과 운동으로 혈중 콜레스테롤 농도가 증가하지 않도록 조심하세요.</v>
      </c>
      <c r="E923" s="1" t="str">
        <f t="shared" si="293"/>
        <v>WOK02</v>
      </c>
      <c r="F923" s="1" t="str">
        <f>"PTM01"</f>
        <v>PTM01</v>
      </c>
      <c r="G923" s="1" t="str">
        <f>"DISE"</f>
        <v>DISE</v>
      </c>
      <c r="H923" s="1" t="str">
        <f>"REL04"</f>
        <v>REL04</v>
      </c>
      <c r="I923" s="1" t="str">
        <f>""</f>
        <v/>
      </c>
      <c r="J923" s="1" t="str">
        <f t="shared" ref="J923:K927" si="298">"C04C"</f>
        <v>C04C</v>
      </c>
      <c r="K923" s="1" t="str">
        <f t="shared" si="298"/>
        <v>C04C</v>
      </c>
      <c r="L923" s="1" t="str">
        <f t="shared" si="292"/>
        <v>R</v>
      </c>
      <c r="M923" s="1" t="str">
        <f>"T03"</f>
        <v>T03</v>
      </c>
      <c r="N923" s="1" t="str">
        <f t="shared" si="277"/>
        <v>Y</v>
      </c>
      <c r="O923" s="1" t="str">
        <f t="shared" si="289"/>
        <v>Y</v>
      </c>
      <c r="P923" s="1" t="str">
        <f t="shared" si="291"/>
        <v>Y</v>
      </c>
      <c r="Q923" s="1" t="str">
        <f t="shared" si="290"/>
        <v>A</v>
      </c>
    </row>
    <row r="924" spans="1:17" x14ac:dyDescent="0.3">
      <c r="A924" s="1" t="str">
        <f t="shared" si="278"/>
        <v>C2</v>
      </c>
      <c r="B924" s="1" t="str">
        <f>"LIP302T"</f>
        <v>LIP302T</v>
      </c>
      <c r="C924" s="1" t="str">
        <f>"이상지질혈증 주의"</f>
        <v>이상지질혈증 주의</v>
      </c>
      <c r="D924" s="1" t="str">
        <f>"혈중 중성지방산이 높습니다. 중성지방산이 증가하지 않도록 술과 지방질이 많은 음식을 피하십시요."</f>
        <v>혈중 중성지방산이 높습니다. 중성지방산이 증가하지 않도록 술과 지방질이 많은 음식을 피하십시요.</v>
      </c>
      <c r="E924" s="1" t="str">
        <f t="shared" si="293"/>
        <v>WOK02</v>
      </c>
      <c r="F924" s="1" t="str">
        <f>"PTM01"</f>
        <v>PTM01</v>
      </c>
      <c r="G924" s="1" t="str">
        <f>"DISE"</f>
        <v>DISE</v>
      </c>
      <c r="H924" s="1" t="str">
        <f>"REL04"</f>
        <v>REL04</v>
      </c>
      <c r="I924" s="1" t="str">
        <f>""</f>
        <v/>
      </c>
      <c r="J924" s="1" t="str">
        <f t="shared" si="298"/>
        <v>C04C</v>
      </c>
      <c r="K924" s="1" t="str">
        <f t="shared" si="298"/>
        <v>C04C</v>
      </c>
      <c r="L924" s="1" t="str">
        <f t="shared" si="292"/>
        <v>R</v>
      </c>
      <c r="M924" s="1" t="str">
        <f>"T03"</f>
        <v>T03</v>
      </c>
      <c r="N924" s="1" t="str">
        <f t="shared" ref="N924:N987" si="299">"Y"</f>
        <v>Y</v>
      </c>
      <c r="O924" s="1" t="str">
        <f t="shared" si="289"/>
        <v>Y</v>
      </c>
      <c r="P924" s="1" t="str">
        <f t="shared" si="291"/>
        <v>Y</v>
      </c>
      <c r="Q924" s="1" t="str">
        <f t="shared" si="290"/>
        <v>A</v>
      </c>
    </row>
    <row r="925" spans="1:17" x14ac:dyDescent="0.3">
      <c r="A925" s="1" t="str">
        <f t="shared" si="278"/>
        <v>C2</v>
      </c>
      <c r="B925" s="1" t="str">
        <f>"LIP303T"</f>
        <v>LIP303T</v>
      </c>
      <c r="C925" s="1" t="str">
        <f>"고밀도 콜레스테롤 부족"</f>
        <v>고밀도 콜레스테롤 부족</v>
      </c>
      <c r="D925" s="1" t="str">
        <f>"심장 질환에 유익한 고밀도 콜레스테롤(HDL-C)이 낮습니다. 식이 요법과 규칙적인 운동이 필요합니다."</f>
        <v>심장 질환에 유익한 고밀도 콜레스테롤(HDL-C)이 낮습니다. 식이 요법과 규칙적인 운동이 필요합니다.</v>
      </c>
      <c r="E925" s="1" t="str">
        <f t="shared" si="293"/>
        <v>WOK02</v>
      </c>
      <c r="F925" s="1" t="str">
        <f>"PTM03"</f>
        <v>PTM03</v>
      </c>
      <c r="G925" s="1" t="str">
        <f>"DISE"</f>
        <v>DISE</v>
      </c>
      <c r="H925" s="1" t="str">
        <f>"REL04"</f>
        <v>REL04</v>
      </c>
      <c r="I925" s="1" t="str">
        <f>""</f>
        <v/>
      </c>
      <c r="J925" s="1" t="str">
        <f t="shared" si="298"/>
        <v>C04C</v>
      </c>
      <c r="K925" s="1" t="str">
        <f t="shared" si="298"/>
        <v>C04C</v>
      </c>
      <c r="L925" s="1" t="str">
        <f t="shared" si="292"/>
        <v>R</v>
      </c>
      <c r="M925" s="1" t="str">
        <f>"T03"</f>
        <v>T03</v>
      </c>
      <c r="N925" s="1" t="str">
        <f t="shared" si="299"/>
        <v>Y</v>
      </c>
      <c r="O925" s="1" t="str">
        <f t="shared" si="289"/>
        <v>Y</v>
      </c>
      <c r="P925" s="1" t="str">
        <f t="shared" si="291"/>
        <v>Y</v>
      </c>
      <c r="Q925" s="1" t="str">
        <f t="shared" si="290"/>
        <v>A</v>
      </c>
    </row>
    <row r="926" spans="1:17" x14ac:dyDescent="0.3">
      <c r="A926" s="1" t="str">
        <f t="shared" si="278"/>
        <v>C2</v>
      </c>
      <c r="B926" s="1" t="str">
        <f>"LIP403"</f>
        <v>LIP403</v>
      </c>
      <c r="C926" s="1" t="str">
        <f>"이상지질혈증(낮은 HDL-콜레스테롤) 주의"</f>
        <v>이상지질혈증(낮은 HDL-콜레스테롤) 주의</v>
      </c>
      <c r="D926" s="1" t="s">
        <v>313</v>
      </c>
      <c r="E926" s="1" t="str">
        <f t="shared" si="293"/>
        <v>WOK02</v>
      </c>
      <c r="F926" s="1" t="str">
        <f>"PTM01"</f>
        <v>PTM01</v>
      </c>
      <c r="G926" s="1" t="str">
        <f>"DISE"</f>
        <v>DISE</v>
      </c>
      <c r="H926" s="1" t="str">
        <f>"REL04"</f>
        <v>REL04</v>
      </c>
      <c r="I926" s="1" t="str">
        <f>""</f>
        <v/>
      </c>
      <c r="J926" s="1" t="str">
        <f t="shared" si="298"/>
        <v>C04C</v>
      </c>
      <c r="K926" s="1" t="str">
        <f t="shared" si="298"/>
        <v>C04C</v>
      </c>
      <c r="L926" s="1" t="str">
        <f t="shared" si="292"/>
        <v>R</v>
      </c>
      <c r="M926" s="1" t="str">
        <f>"T03"</f>
        <v>T03</v>
      </c>
      <c r="N926" s="1" t="str">
        <f t="shared" si="299"/>
        <v>Y</v>
      </c>
      <c r="O926" s="1" t="str">
        <f t="shared" si="289"/>
        <v>Y</v>
      </c>
      <c r="P926" s="1" t="str">
        <f t="shared" si="291"/>
        <v>Y</v>
      </c>
      <c r="Q926" s="1" t="str">
        <f t="shared" si="290"/>
        <v>A</v>
      </c>
    </row>
    <row r="927" spans="1:17" x14ac:dyDescent="0.3">
      <c r="A927" s="1" t="str">
        <f t="shared" si="278"/>
        <v>C2</v>
      </c>
      <c r="B927" s="1" t="str">
        <f>"LIPLT2T"</f>
        <v>LIPLT2T</v>
      </c>
      <c r="C927" s="1" t="str">
        <f>"이상지질혈증 주의"</f>
        <v>이상지질혈증 주의</v>
      </c>
      <c r="D927" s="1" t="str">
        <f>"혈중 콜레스테롤 농도가 높아 주의를 요합니다. 혈중 콜레스테롤 농도 상승 시 심혈관계질환 발생의 위험이 높습니다. 식이요법 및 운동을 통한 추적관리 바랍니다."</f>
        <v>혈중 콜레스테롤 농도가 높아 주의를 요합니다. 혈중 콜레스테롤 농도 상승 시 심혈관계질환 발생의 위험이 높습니다. 식이요법 및 운동을 통한 추적관리 바랍니다.</v>
      </c>
      <c r="E927" s="1" t="str">
        <f t="shared" si="293"/>
        <v>WOK02</v>
      </c>
      <c r="F927" s="1" t="str">
        <f>"PTM03"</f>
        <v>PTM03</v>
      </c>
      <c r="G927" s="1" t="str">
        <f>"DISE"</f>
        <v>DISE</v>
      </c>
      <c r="H927" s="1" t="str">
        <f>"REL04"</f>
        <v>REL04</v>
      </c>
      <c r="I927" s="1" t="str">
        <f>""</f>
        <v/>
      </c>
      <c r="J927" s="1" t="str">
        <f t="shared" si="298"/>
        <v>C04C</v>
      </c>
      <c r="K927" s="1" t="str">
        <f t="shared" si="298"/>
        <v>C04C</v>
      </c>
      <c r="L927" s="1" t="str">
        <f t="shared" si="292"/>
        <v>R</v>
      </c>
      <c r="M927" s="1" t="str">
        <f>"T03"</f>
        <v>T03</v>
      </c>
      <c r="N927" s="1" t="str">
        <f t="shared" si="299"/>
        <v>Y</v>
      </c>
      <c r="O927" s="1" t="str">
        <f t="shared" si="289"/>
        <v>Y</v>
      </c>
      <c r="P927" s="1" t="str">
        <f t="shared" si="291"/>
        <v>Y</v>
      </c>
      <c r="Q927" s="1" t="str">
        <f t="shared" si="290"/>
        <v>A</v>
      </c>
    </row>
    <row r="928" spans="1:17" x14ac:dyDescent="0.3">
      <c r="A928" s="1" t="str">
        <f t="shared" ref="A928:A996" si="300">"C2"</f>
        <v>C2</v>
      </c>
      <c r="B928" s="1" t="str">
        <f>"M0001"</f>
        <v>M0001</v>
      </c>
      <c r="C928" s="1" t="str">
        <f>"제한성 폐기능 저하"</f>
        <v>제한성 폐기능 저하</v>
      </c>
      <c r="D928" s="1" t="s">
        <v>314</v>
      </c>
      <c r="E928" s="1" t="str">
        <f t="shared" si="293"/>
        <v>WOK02</v>
      </c>
      <c r="F928" s="1" t="str">
        <f>"PTM02"</f>
        <v>PTM02</v>
      </c>
      <c r="G928" s="1" t="str">
        <f>"DISJ"</f>
        <v>DISJ</v>
      </c>
      <c r="H928" s="1" t="str">
        <f>"REL02"</f>
        <v>REL02</v>
      </c>
      <c r="I928" s="1" t="str">
        <f>""</f>
        <v/>
      </c>
      <c r="J928" s="1" t="str">
        <f>"C40C"</f>
        <v>C40C</v>
      </c>
      <c r="K928" s="1" t="str">
        <f>"C40C"</f>
        <v>C40C</v>
      </c>
      <c r="L928" s="1" t="str">
        <f t="shared" si="292"/>
        <v>R</v>
      </c>
      <c r="M928" s="1" t="str">
        <f>"T04"</f>
        <v>T04</v>
      </c>
      <c r="N928" s="1" t="str">
        <f t="shared" si="299"/>
        <v>Y</v>
      </c>
      <c r="O928" s="1" t="str">
        <f t="shared" si="289"/>
        <v>Y</v>
      </c>
      <c r="P928" s="1" t="str">
        <f t="shared" si="291"/>
        <v>Y</v>
      </c>
      <c r="Q928" s="1" t="str">
        <f t="shared" si="290"/>
        <v>A</v>
      </c>
    </row>
    <row r="929" spans="1:17" x14ac:dyDescent="0.3">
      <c r="A929" s="1" t="str">
        <f t="shared" si="300"/>
        <v>C2</v>
      </c>
      <c r="B929" s="1" t="str">
        <f>"M0004"</f>
        <v>M0004</v>
      </c>
      <c r="C929" s="1" t="str">
        <f>"이상지질혈증 주의"</f>
        <v>이상지질혈증 주의</v>
      </c>
      <c r="D929" s="1" t="str">
        <f>"혈중 콜레스테롤 농도가 높아 주의를 요합니다. 콜레스테롤 농도가 올라갈수록 심혈관계질환 발생의 위험이 높아집니다. 식이요법과 운동을 하고 추적관리를 하십시오."</f>
        <v>혈중 콜레스테롤 농도가 높아 주의를 요합니다. 콜레스테롤 농도가 올라갈수록 심혈관계질환 발생의 위험이 높아집니다. 식이요법과 운동을 하고 추적관리를 하십시오.</v>
      </c>
      <c r="E929" s="1" t="str">
        <f t="shared" si="293"/>
        <v>WOK02</v>
      </c>
      <c r="F929" s="1" t="str">
        <f>"PTM01"</f>
        <v>PTM01</v>
      </c>
      <c r="G929" s="1" t="str">
        <f>"DISE"</f>
        <v>DISE</v>
      </c>
      <c r="H929" s="1" t="str">
        <f>"REL04"</f>
        <v>REL04</v>
      </c>
      <c r="I929" s="1" t="str">
        <f>""</f>
        <v/>
      </c>
      <c r="J929" s="1" t="str">
        <f>"C04C"</f>
        <v>C04C</v>
      </c>
      <c r="K929" s="1" t="str">
        <f>"C04C"</f>
        <v>C04C</v>
      </c>
      <c r="L929" s="1" t="str">
        <f t="shared" si="292"/>
        <v>R</v>
      </c>
      <c r="M929" s="1" t="str">
        <f>"T03"</f>
        <v>T03</v>
      </c>
      <c r="N929" s="1" t="str">
        <f t="shared" si="299"/>
        <v>Y</v>
      </c>
      <c r="O929" s="1" t="str">
        <f t="shared" si="289"/>
        <v>Y</v>
      </c>
      <c r="P929" s="1" t="str">
        <f t="shared" si="291"/>
        <v>Y</v>
      </c>
      <c r="Q929" s="1" t="str">
        <f t="shared" si="290"/>
        <v>A</v>
      </c>
    </row>
    <row r="930" spans="1:17" x14ac:dyDescent="0.3">
      <c r="A930" s="1" t="str">
        <f t="shared" si="300"/>
        <v>C2</v>
      </c>
      <c r="B930" s="1" t="str">
        <f>"M0045H"</f>
        <v>M0045H</v>
      </c>
      <c r="C930" s="1" t="str">
        <f>"기타 흉부질환(비활동성)"</f>
        <v>기타 흉부질환(비활동성)</v>
      </c>
      <c r="D930" s="1" t="str">
        <f>"흉부 방사선상 기타 흉부질환(비활동성)이 의심됩니다. 임상적 의의는 미미하나 증상이 있다면 내과적 추적검사 받으세요."</f>
        <v>흉부 방사선상 기타 흉부질환(비활동성)이 의심됩니다. 임상적 의의는 미미하나 증상이 있다면 내과적 추적검사 받으세요.</v>
      </c>
      <c r="E930" s="1" t="str">
        <f t="shared" si="293"/>
        <v>WOK02</v>
      </c>
      <c r="F930" s="1" t="str">
        <f>"PTM01"</f>
        <v>PTM01</v>
      </c>
      <c r="G930" s="1" t="str">
        <f>"DISJ"</f>
        <v>DISJ</v>
      </c>
      <c r="H930" s="1" t="str">
        <f>""</f>
        <v/>
      </c>
      <c r="I930" s="1" t="str">
        <f>""</f>
        <v/>
      </c>
      <c r="J930" s="1" t="str">
        <f>"C02C"</f>
        <v>C02C</v>
      </c>
      <c r="K930" s="1" t="str">
        <f>"C02C"</f>
        <v>C02C</v>
      </c>
      <c r="L930" s="1" t="str">
        <f t="shared" si="292"/>
        <v>R</v>
      </c>
      <c r="M930" s="1" t="str">
        <f>"T04"</f>
        <v>T04</v>
      </c>
      <c r="N930" s="1" t="str">
        <f t="shared" si="299"/>
        <v>Y</v>
      </c>
      <c r="O930" s="1" t="str">
        <f t="shared" si="289"/>
        <v>Y</v>
      </c>
      <c r="P930" s="1" t="str">
        <f t="shared" si="291"/>
        <v>Y</v>
      </c>
      <c r="Q930" s="1" t="str">
        <f t="shared" si="290"/>
        <v>A</v>
      </c>
    </row>
    <row r="931" spans="1:17" x14ac:dyDescent="0.3">
      <c r="A931" s="1" t="str">
        <f t="shared" si="300"/>
        <v>C2</v>
      </c>
      <c r="B931" s="1" t="str">
        <f>"M0048"</f>
        <v>M0048</v>
      </c>
      <c r="C931" s="1" t="str">
        <f>"간장질환주의"</f>
        <v>간장질환주의</v>
      </c>
      <c r="D931" s="1" t="str">
        <f>"간 수치가 증가 되어 있습니다 음주 및 간염등에 의해 증가 될 수 있으며 정확한 진단을 위해 내과진료를 받으세요.유해인자 취급주의 하시고 보호구 착용하시기 바랍니다."</f>
        <v>간 수치가 증가 되어 있습니다 음주 및 간염등에 의해 증가 될 수 있으며 정확한 진단을 위해 내과진료를 받으세요.유해인자 취급주의 하시고 보호구 착용하시기 바랍니다.</v>
      </c>
      <c r="E931" s="1" t="str">
        <f t="shared" si="293"/>
        <v>WOK02</v>
      </c>
      <c r="F931" s="1" t="str">
        <f>"PTM01"</f>
        <v>PTM01</v>
      </c>
      <c r="G931" s="1" t="str">
        <f>"DISK"</f>
        <v>DISK</v>
      </c>
      <c r="H931" s="1" t="str">
        <f>"REL05"</f>
        <v>REL05</v>
      </c>
      <c r="I931" s="1" t="str">
        <f>""</f>
        <v/>
      </c>
      <c r="J931" s="1" t="str">
        <f>"C05C"</f>
        <v>C05C</v>
      </c>
      <c r="K931" s="1" t="str">
        <f>"C05C"</f>
        <v>C05C</v>
      </c>
      <c r="L931" s="1" t="str">
        <f t="shared" si="292"/>
        <v>R</v>
      </c>
      <c r="M931" s="1" t="str">
        <f>"T02"</f>
        <v>T02</v>
      </c>
      <c r="N931" s="1" t="str">
        <f t="shared" si="299"/>
        <v>Y</v>
      </c>
      <c r="O931" s="1" t="str">
        <f t="shared" si="289"/>
        <v>Y</v>
      </c>
      <c r="P931" s="1" t="str">
        <f t="shared" si="291"/>
        <v>Y</v>
      </c>
      <c r="Q931" s="1" t="str">
        <f t="shared" si="290"/>
        <v>A</v>
      </c>
    </row>
    <row r="932" spans="1:17" x14ac:dyDescent="0.3">
      <c r="A932" s="1" t="str">
        <f t="shared" si="300"/>
        <v>C2</v>
      </c>
      <c r="B932" s="1" t="str">
        <f>"M0095"</f>
        <v>M0095</v>
      </c>
      <c r="C932" s="1" t="str">
        <f>"대장용종"</f>
        <v>대장용종</v>
      </c>
      <c r="D932" s="1" t="str">
        <f>"대장내시경 검사상 대장용종이 있습니다. 주치의와 상담하시고 추후 정기적인 추적관찰 받으시기 바랍니다."</f>
        <v>대장내시경 검사상 대장용종이 있습니다. 주치의와 상담하시고 추후 정기적인 추적관찰 받으시기 바랍니다.</v>
      </c>
      <c r="E932" s="1" t="str">
        <f t="shared" si="293"/>
        <v>WOK02</v>
      </c>
      <c r="F932" s="1" t="str">
        <f>"PTF01"</f>
        <v>PTF01</v>
      </c>
      <c r="G932" s="1" t="str">
        <f>"DISK"</f>
        <v>DISK</v>
      </c>
      <c r="H932" s="1" t="str">
        <f>""</f>
        <v/>
      </c>
      <c r="I932" s="1" t="str">
        <f>""</f>
        <v/>
      </c>
      <c r="J932" s="1" t="str">
        <f>""</f>
        <v/>
      </c>
      <c r="K932" s="1" t="str">
        <f>""</f>
        <v/>
      </c>
      <c r="L932" s="1" t="str">
        <f t="shared" si="292"/>
        <v>R</v>
      </c>
      <c r="M932" s="1" t="str">
        <f>""</f>
        <v/>
      </c>
      <c r="N932" s="1" t="str">
        <f t="shared" si="299"/>
        <v>Y</v>
      </c>
      <c r="O932" s="1" t="str">
        <f t="shared" si="289"/>
        <v>Y</v>
      </c>
      <c r="P932" s="1" t="str">
        <f t="shared" si="291"/>
        <v>Y</v>
      </c>
      <c r="Q932" s="1" t="str">
        <f t="shared" si="290"/>
        <v>A</v>
      </c>
    </row>
    <row r="933" spans="1:17" x14ac:dyDescent="0.3">
      <c r="A933" s="1" t="str">
        <f t="shared" si="300"/>
        <v>C2</v>
      </c>
      <c r="B933" s="1" t="str">
        <f>"MSD301"</f>
        <v>MSD301</v>
      </c>
      <c r="C933" s="1" t="str">
        <f>"근골격계질환주의"</f>
        <v>근골격계질환주의</v>
      </c>
      <c r="D933" s="1" t="str">
        <f>"작업조건의 개선과 정기적인 건강관리를 받으세요."</f>
        <v>작업조건의 개선과 정기적인 건강관리를 받으세요.</v>
      </c>
      <c r="E933" s="1" t="str">
        <f t="shared" si="293"/>
        <v>WOK02</v>
      </c>
      <c r="F933" s="1" t="str">
        <f>"PTM03"</f>
        <v>PTM03</v>
      </c>
      <c r="G933" s="1" t="str">
        <f>"DISM"</f>
        <v>DISM</v>
      </c>
      <c r="H933" s="1" t="str">
        <f>"REL22"</f>
        <v>REL22</v>
      </c>
      <c r="I933" s="1" t="str">
        <f>""</f>
        <v/>
      </c>
      <c r="J933" s="1" t="str">
        <f t="shared" ref="J933:K935" si="301">"C43C"</f>
        <v>C43C</v>
      </c>
      <c r="K933" s="1" t="str">
        <f t="shared" si="301"/>
        <v>C43C</v>
      </c>
      <c r="L933" s="1" t="str">
        <f t="shared" si="292"/>
        <v>R</v>
      </c>
      <c r="M933" s="1" t="str">
        <f>""</f>
        <v/>
      </c>
      <c r="N933" s="1" t="str">
        <f t="shared" si="299"/>
        <v>Y</v>
      </c>
      <c r="O933" s="1" t="str">
        <f t="shared" si="289"/>
        <v>Y</v>
      </c>
      <c r="P933" s="1" t="str">
        <f t="shared" si="291"/>
        <v>Y</v>
      </c>
      <c r="Q933" s="1" t="str">
        <f t="shared" si="290"/>
        <v>A</v>
      </c>
    </row>
    <row r="934" spans="1:17" x14ac:dyDescent="0.3">
      <c r="A934" s="1" t="str">
        <f t="shared" si="300"/>
        <v>C2</v>
      </c>
      <c r="B934" s="1" t="str">
        <f>"MSD302"</f>
        <v>MSD302</v>
      </c>
      <c r="C934" s="1" t="str">
        <f>"근골격계질환주의"</f>
        <v>근골격계질환주의</v>
      </c>
      <c r="D934" s="1" t="str">
        <f>"근골격계질환 예방을 위해 근력강화 운동을 하세요."</f>
        <v>근골격계질환 예방을 위해 근력강화 운동을 하세요.</v>
      </c>
      <c r="E934" s="1" t="str">
        <f t="shared" si="293"/>
        <v>WOK02</v>
      </c>
      <c r="F934" s="1" t="str">
        <f>"PTM01"</f>
        <v>PTM01</v>
      </c>
      <c r="G934" s="1" t="str">
        <f>"DISM"</f>
        <v>DISM</v>
      </c>
      <c r="H934" s="1" t="str">
        <f>"REL22"</f>
        <v>REL22</v>
      </c>
      <c r="I934" s="1" t="str">
        <f>""</f>
        <v/>
      </c>
      <c r="J934" s="1" t="str">
        <f t="shared" si="301"/>
        <v>C43C</v>
      </c>
      <c r="K934" s="1" t="str">
        <f t="shared" si="301"/>
        <v>C43C</v>
      </c>
      <c r="L934" s="1" t="str">
        <f t="shared" si="292"/>
        <v>R</v>
      </c>
      <c r="M934" s="1" t="str">
        <f>""</f>
        <v/>
      </c>
      <c r="N934" s="1" t="str">
        <f t="shared" si="299"/>
        <v>Y</v>
      </c>
      <c r="O934" s="1" t="str">
        <f t="shared" si="289"/>
        <v>Y</v>
      </c>
      <c r="P934" s="1" t="str">
        <f t="shared" si="291"/>
        <v>Y</v>
      </c>
      <c r="Q934" s="1" t="str">
        <f t="shared" si="290"/>
        <v>A</v>
      </c>
    </row>
    <row r="935" spans="1:17" x14ac:dyDescent="0.3">
      <c r="A935" s="1" t="str">
        <f t="shared" si="300"/>
        <v>C2</v>
      </c>
      <c r="B935" s="1" t="str">
        <f>"MSD303"</f>
        <v>MSD303</v>
      </c>
      <c r="C935" s="1" t="str">
        <f>"근골격계질환주의"</f>
        <v>근골격계질환주의</v>
      </c>
      <c r="D935" s="1" t="str">
        <f>"근골격계질환 예방을 위해 매일 스트레칭을 하세요."</f>
        <v>근골격계질환 예방을 위해 매일 스트레칭을 하세요.</v>
      </c>
      <c r="E935" s="1" t="str">
        <f t="shared" si="293"/>
        <v>WOK02</v>
      </c>
      <c r="F935" s="1" t="str">
        <f>"PTM01"</f>
        <v>PTM01</v>
      </c>
      <c r="G935" s="1" t="str">
        <f>"DISM"</f>
        <v>DISM</v>
      </c>
      <c r="H935" s="1" t="str">
        <f>"REL22"</f>
        <v>REL22</v>
      </c>
      <c r="I935" s="1" t="str">
        <f>""</f>
        <v/>
      </c>
      <c r="J935" s="1" t="str">
        <f t="shared" si="301"/>
        <v>C43C</v>
      </c>
      <c r="K935" s="1" t="str">
        <f t="shared" si="301"/>
        <v>C43C</v>
      </c>
      <c r="L935" s="1" t="str">
        <f t="shared" si="292"/>
        <v>R</v>
      </c>
      <c r="M935" s="1" t="str">
        <f>""</f>
        <v/>
      </c>
      <c r="N935" s="1" t="str">
        <f t="shared" si="299"/>
        <v>Y</v>
      </c>
      <c r="O935" s="1" t="str">
        <f t="shared" si="289"/>
        <v>Y</v>
      </c>
      <c r="P935" s="1" t="str">
        <f t="shared" si="291"/>
        <v>Y</v>
      </c>
      <c r="Q935" s="1" t="str">
        <f t="shared" si="290"/>
        <v>A</v>
      </c>
    </row>
    <row r="936" spans="1:17" x14ac:dyDescent="0.3">
      <c r="A936" s="1" t="str">
        <f t="shared" si="300"/>
        <v>C2</v>
      </c>
      <c r="B936" s="1" t="str">
        <f>"N252001"</f>
        <v>N252001</v>
      </c>
      <c r="C936" s="1" t="str">
        <f>"훼리틴 감소"</f>
        <v>훼리틴 감소</v>
      </c>
      <c r="D936" s="1" t="str">
        <f>"혈중에 저장된 철분이 부족할 경우에 혈중 훼리틴의 저하가 나타납니다. 이는 만성 질환 또는 철결핍성 빈혈을 의미합니다. 내과 진료가 필요합니다."</f>
        <v>혈중에 저장된 철분이 부족할 경우에 혈중 훼리틴의 저하가 나타납니다. 이는 만성 질환 또는 철결핍성 빈혈을 의미합니다. 내과 진료가 필요합니다.</v>
      </c>
      <c r="E936" s="1" t="str">
        <f t="shared" si="293"/>
        <v>WOK02</v>
      </c>
      <c r="F936" s="1" t="str">
        <f>"PTM01"</f>
        <v>PTM01</v>
      </c>
      <c r="G936" s="1" t="str">
        <f>""</f>
        <v/>
      </c>
      <c r="H936" s="1" t="str">
        <f>"REL12"</f>
        <v>REL12</v>
      </c>
      <c r="I936" s="1" t="str">
        <f>""</f>
        <v/>
      </c>
      <c r="J936" s="1" t="str">
        <f>"C08C"</f>
        <v>C08C</v>
      </c>
      <c r="K936" s="1" t="str">
        <f>"C08C"</f>
        <v>C08C</v>
      </c>
      <c r="L936" s="1" t="str">
        <f t="shared" si="292"/>
        <v>R</v>
      </c>
      <c r="M936" s="1" t="str">
        <f>"T01"</f>
        <v>T01</v>
      </c>
      <c r="N936" s="1" t="str">
        <f t="shared" si="299"/>
        <v>Y</v>
      </c>
      <c r="O936" s="1" t="str">
        <f t="shared" si="289"/>
        <v>Y</v>
      </c>
      <c r="P936" s="1" t="str">
        <f t="shared" si="291"/>
        <v>Y</v>
      </c>
      <c r="Q936" s="1" t="str">
        <f t="shared" si="290"/>
        <v>A</v>
      </c>
    </row>
    <row r="937" spans="1:17" x14ac:dyDescent="0.3">
      <c r="A937" s="1" t="str">
        <f t="shared" si="300"/>
        <v>C2</v>
      </c>
      <c r="B937" s="1" t="str">
        <f>"N350001"</f>
        <v>N350001</v>
      </c>
      <c r="C937" s="1" t="str">
        <f>"FSH 상승"</f>
        <v>FSH 상승</v>
      </c>
      <c r="D937" s="1" t="s">
        <v>315</v>
      </c>
      <c r="E937" s="1" t="str">
        <f>""</f>
        <v/>
      </c>
      <c r="F937" s="1" t="str">
        <f>""</f>
        <v/>
      </c>
      <c r="G937" s="1" t="str">
        <f>""</f>
        <v/>
      </c>
      <c r="H937" s="1" t="str">
        <f>""</f>
        <v/>
      </c>
      <c r="I937" s="1" t="str">
        <f>""</f>
        <v/>
      </c>
      <c r="J937" s="1" t="str">
        <f>""</f>
        <v/>
      </c>
      <c r="K937" s="1" t="str">
        <f>""</f>
        <v/>
      </c>
      <c r="L937" s="1" t="str">
        <f t="shared" si="292"/>
        <v>R</v>
      </c>
      <c r="M937" s="1" t="str">
        <f>""</f>
        <v/>
      </c>
      <c r="N937" s="1" t="str">
        <f t="shared" si="299"/>
        <v>Y</v>
      </c>
      <c r="O937" s="1" t="str">
        <f t="shared" si="289"/>
        <v>Y</v>
      </c>
      <c r="P937" s="1" t="str">
        <f t="shared" si="291"/>
        <v>Y</v>
      </c>
      <c r="Q937" s="1" t="str">
        <f t="shared" si="290"/>
        <v>A</v>
      </c>
    </row>
    <row r="938" spans="1:17" x14ac:dyDescent="0.3">
      <c r="A938" s="1" t="str">
        <f t="shared" si="300"/>
        <v>C2</v>
      </c>
      <c r="B938" s="1" t="str">
        <f>"NHL301C2"</f>
        <v>NHL301C2</v>
      </c>
      <c r="C938" s="1" t="str">
        <f>"(좌측)고주파수청력저하 요관찰"</f>
        <v>(좌측)고주파수청력저하 요관찰</v>
      </c>
      <c r="D938" s="1" t="str">
        <f>"보호구 착용. 정기적인 청력검사 필요"</f>
        <v>보호구 착용. 정기적인 청력검사 필요</v>
      </c>
      <c r="E938" s="1" t="str">
        <f>"WOK02"</f>
        <v>WOK02</v>
      </c>
      <c r="F938" s="1" t="str">
        <f>"PTM02"</f>
        <v>PTM02</v>
      </c>
      <c r="G938" s="1" t="str">
        <f>"DISH"</f>
        <v>DISH</v>
      </c>
      <c r="H938" s="1" t="str">
        <f>"REL31"</f>
        <v>REL31</v>
      </c>
      <c r="I938" s="1" t="str">
        <f>"01"</f>
        <v>01</v>
      </c>
      <c r="J938" s="1" t="str">
        <f t="shared" ref="J938:K940" si="302">"C55C"</f>
        <v>C55C</v>
      </c>
      <c r="K938" s="1" t="str">
        <f t="shared" si="302"/>
        <v>C55C</v>
      </c>
      <c r="L938" s="1" t="str">
        <f t="shared" si="292"/>
        <v>R</v>
      </c>
      <c r="M938" s="1" t="str">
        <f>"T10"</f>
        <v>T10</v>
      </c>
      <c r="N938" s="1" t="str">
        <f t="shared" si="299"/>
        <v>Y</v>
      </c>
      <c r="O938" s="1" t="str">
        <f>"N"</f>
        <v>N</v>
      </c>
      <c r="P938" s="1" t="str">
        <f t="shared" si="291"/>
        <v>Y</v>
      </c>
      <c r="Q938" s="1" t="str">
        <f>"L"</f>
        <v>L</v>
      </c>
    </row>
    <row r="939" spans="1:17" x14ac:dyDescent="0.3">
      <c r="A939" s="1" t="str">
        <f t="shared" si="300"/>
        <v>C2</v>
      </c>
      <c r="B939" s="1" t="str">
        <f>"NHL301C2L"</f>
        <v>NHL301C2L</v>
      </c>
      <c r="C939" s="1" t="str">
        <f>"(좌측)고주파수청력저하 요관찰"</f>
        <v>(좌측)고주파수청력저하 요관찰</v>
      </c>
      <c r="D939" s="1" t="str">
        <f>"보호구 착용. 정기적인 청력검사 필요"</f>
        <v>보호구 착용. 정기적인 청력검사 필요</v>
      </c>
      <c r="E939" s="1" t="str">
        <f>"WOK02"</f>
        <v>WOK02</v>
      </c>
      <c r="F939" s="1" t="str">
        <f>"PTM02"</f>
        <v>PTM02</v>
      </c>
      <c r="G939" s="1" t="str">
        <f>"DISH"</f>
        <v>DISH</v>
      </c>
      <c r="H939" s="1" t="str">
        <f>"REL31"</f>
        <v>REL31</v>
      </c>
      <c r="I939" s="1" t="str">
        <f>"01"</f>
        <v>01</v>
      </c>
      <c r="J939" s="1" t="str">
        <f t="shared" si="302"/>
        <v>C55C</v>
      </c>
      <c r="K939" s="1" t="str">
        <f t="shared" si="302"/>
        <v>C55C</v>
      </c>
      <c r="L939" s="1" t="str">
        <f t="shared" si="292"/>
        <v>R</v>
      </c>
      <c r="M939" s="1" t="str">
        <f>"T10"</f>
        <v>T10</v>
      </c>
      <c r="N939" s="1" t="str">
        <f t="shared" si="299"/>
        <v>Y</v>
      </c>
      <c r="O939" s="1" t="str">
        <f>"N"</f>
        <v>N</v>
      </c>
      <c r="P939" s="1" t="str">
        <f t="shared" si="291"/>
        <v>Y</v>
      </c>
      <c r="Q939" s="1" t="str">
        <f>"L"</f>
        <v>L</v>
      </c>
    </row>
    <row r="940" spans="1:17" x14ac:dyDescent="0.3">
      <c r="A940" s="1" t="str">
        <f t="shared" si="300"/>
        <v>C2</v>
      </c>
      <c r="B940" s="1" t="str">
        <f>"NHL301C2R"</f>
        <v>NHL301C2R</v>
      </c>
      <c r="C940" s="1" t="str">
        <f>"(우측)고주파수청력저하 요관찰"</f>
        <v>(우측)고주파수청력저하 요관찰</v>
      </c>
      <c r="D940" s="1" t="str">
        <f>"보호구 착용. 정기적인 청력검사 필요"</f>
        <v>보호구 착용. 정기적인 청력검사 필요</v>
      </c>
      <c r="E940" s="1" t="str">
        <f>"WOK02"</f>
        <v>WOK02</v>
      </c>
      <c r="F940" s="1" t="str">
        <f>"PTM02"</f>
        <v>PTM02</v>
      </c>
      <c r="G940" s="1" t="str">
        <f>"DISH"</f>
        <v>DISH</v>
      </c>
      <c r="H940" s="1" t="str">
        <f>"REL31"</f>
        <v>REL31</v>
      </c>
      <c r="I940" s="1" t="str">
        <f>"01"</f>
        <v>01</v>
      </c>
      <c r="J940" s="1" t="str">
        <f t="shared" si="302"/>
        <v>C55C</v>
      </c>
      <c r="K940" s="1" t="str">
        <f t="shared" si="302"/>
        <v>C55C</v>
      </c>
      <c r="L940" s="1" t="str">
        <f t="shared" si="292"/>
        <v>R</v>
      </c>
      <c r="M940" s="1" t="str">
        <f>"T10"</f>
        <v>T10</v>
      </c>
      <c r="N940" s="1" t="str">
        <f t="shared" si="299"/>
        <v>Y</v>
      </c>
      <c r="O940" s="1" t="str">
        <f>"N"</f>
        <v>N</v>
      </c>
      <c r="P940" s="1" t="str">
        <f t="shared" si="291"/>
        <v>Y</v>
      </c>
      <c r="Q940" s="1" t="str">
        <f>"R"</f>
        <v>R</v>
      </c>
    </row>
    <row r="941" spans="1:17" x14ac:dyDescent="0.3">
      <c r="A941" s="1" t="str">
        <f t="shared" si="300"/>
        <v>C2</v>
      </c>
      <c r="B941" s="1" t="str">
        <f>"NLIPLTC2"</f>
        <v>NLIPLTC2</v>
      </c>
      <c r="C941" s="1" t="str">
        <f>"이상지질혈증 치료중"</f>
        <v>이상지질혈증 치료중</v>
      </c>
      <c r="D941" s="1" t="str">
        <f>"이상지질혈증에 대한 지속적인 관리 필요합니다."</f>
        <v>이상지질혈증에 대한 지속적인 관리 필요합니다.</v>
      </c>
      <c r="E941" s="1" t="str">
        <f>"WOK02"</f>
        <v>WOK02</v>
      </c>
      <c r="F941" s="1" t="str">
        <f>"PTM04"</f>
        <v>PTM04</v>
      </c>
      <c r="G941" s="1" t="str">
        <f>"DISE"</f>
        <v>DISE</v>
      </c>
      <c r="H941" s="1" t="str">
        <f>"REL04"</f>
        <v>REL04</v>
      </c>
      <c r="I941" s="1" t="str">
        <f>""</f>
        <v/>
      </c>
      <c r="J941" s="1" t="str">
        <f>"C04C"</f>
        <v>C04C</v>
      </c>
      <c r="K941" s="1" t="str">
        <f>"C04C"</f>
        <v>C04C</v>
      </c>
      <c r="L941" s="1" t="str">
        <f t="shared" ref="L941:L972" si="303">"R"</f>
        <v>R</v>
      </c>
      <c r="M941" s="1" t="str">
        <f>"T03"</f>
        <v>T03</v>
      </c>
      <c r="N941" s="1" t="str">
        <f t="shared" si="299"/>
        <v>Y</v>
      </c>
      <c r="O941" s="1" t="str">
        <f t="shared" ref="O941:O979" si="304">"Y"</f>
        <v>Y</v>
      </c>
      <c r="P941" s="1" t="str">
        <f t="shared" si="291"/>
        <v>Y</v>
      </c>
      <c r="Q941" s="1" t="str">
        <f t="shared" ref="Q941:Q958" si="305">"A"</f>
        <v>A</v>
      </c>
    </row>
    <row r="942" spans="1:17" x14ac:dyDescent="0.3">
      <c r="A942" s="1" t="str">
        <f t="shared" si="300"/>
        <v>C2</v>
      </c>
      <c r="B942" s="1" t="str">
        <f>"O10201"</f>
        <v>O10201</v>
      </c>
      <c r="C942" s="1" t="str">
        <f>"사구체여과율 감소"</f>
        <v>사구체여과율 감소</v>
      </c>
      <c r="D942" s="1" t="str">
        <f>"검사상 사구체 여과율이 감소되어 있습니다. 사구체여과율의 감소는 신장기능의 감소를 의미하며 만성 콩팥병을 진단할 수 있는 기준이 됩니다. 현재 사구체여과율이 감소되어 있으므로 내원하시어 상담 받으시기 바랍니다."</f>
        <v>검사상 사구체 여과율이 감소되어 있습니다. 사구체여과율의 감소는 신장기능의 감소를 의미하며 만성 콩팥병을 진단할 수 있는 기준이 됩니다. 현재 사구체여과율이 감소되어 있으므로 내원하시어 상담 받으시기 바랍니다.</v>
      </c>
      <c r="E942" s="1" t="str">
        <f>""</f>
        <v/>
      </c>
      <c r="F942" s="1" t="str">
        <f>""</f>
        <v/>
      </c>
      <c r="G942" s="1" t="str">
        <f>""</f>
        <v/>
      </c>
      <c r="H942" s="1" t="str">
        <f>""</f>
        <v/>
      </c>
      <c r="I942" s="1" t="str">
        <f>""</f>
        <v/>
      </c>
      <c r="J942" s="1" t="str">
        <f>""</f>
        <v/>
      </c>
      <c r="K942" s="1" t="str">
        <f>""</f>
        <v/>
      </c>
      <c r="L942" s="1" t="str">
        <f t="shared" si="303"/>
        <v>R</v>
      </c>
      <c r="M942" s="1" t="str">
        <f>""</f>
        <v/>
      </c>
      <c r="N942" s="1" t="str">
        <f t="shared" si="299"/>
        <v>Y</v>
      </c>
      <c r="O942" s="1" t="str">
        <f t="shared" si="304"/>
        <v>Y</v>
      </c>
      <c r="P942" s="1" t="str">
        <f t="shared" si="291"/>
        <v>Y</v>
      </c>
      <c r="Q942" s="1" t="str">
        <f t="shared" si="305"/>
        <v>A</v>
      </c>
    </row>
    <row r="943" spans="1:17" x14ac:dyDescent="0.3">
      <c r="A943" s="1" t="str">
        <f t="shared" si="300"/>
        <v>C2</v>
      </c>
      <c r="B943" s="1" t="str">
        <f>"PATH0018"</f>
        <v>PATH0018</v>
      </c>
      <c r="C943" s="1" t="str">
        <f>"대장 선암종"</f>
        <v>대장 선암종</v>
      </c>
      <c r="D943" s="1" t="str">
        <f>"▶대장 조직검사 결과 선암종 소견입니다. 선암종은 악성종양으로 정밀검사 및 치료가 반드시 필요합니다. 소화기내과 진료 받으십시오."</f>
        <v>▶대장 조직검사 결과 선암종 소견입니다. 선암종은 악성종양으로 정밀검사 및 치료가 반드시 필요합니다. 소화기내과 진료 받으십시오.</v>
      </c>
      <c r="E943" s="1" t="str">
        <f t="shared" ref="E943:E974" si="306">"WOK02"</f>
        <v>WOK02</v>
      </c>
      <c r="F943" s="1" t="str">
        <f t="shared" ref="F943:F950" si="307">"PTM04"</f>
        <v>PTM04</v>
      </c>
      <c r="G943" s="1" t="str">
        <f>""</f>
        <v/>
      </c>
      <c r="H943" s="1" t="str">
        <f t="shared" ref="H943:H950" si="308">"REL37"</f>
        <v>REL37</v>
      </c>
      <c r="I943" s="1" t="str">
        <f>""</f>
        <v/>
      </c>
      <c r="J943" s="1" t="str">
        <f>""</f>
        <v/>
      </c>
      <c r="K943" s="1" t="str">
        <f>""</f>
        <v/>
      </c>
      <c r="L943" s="1" t="str">
        <f t="shared" si="303"/>
        <v>R</v>
      </c>
      <c r="M943" s="1" t="str">
        <f>""</f>
        <v/>
      </c>
      <c r="N943" s="1" t="str">
        <f t="shared" si="299"/>
        <v>Y</v>
      </c>
      <c r="O943" s="1" t="str">
        <f t="shared" si="304"/>
        <v>Y</v>
      </c>
      <c r="P943" s="1" t="str">
        <f t="shared" si="291"/>
        <v>Y</v>
      </c>
      <c r="Q943" s="1" t="str">
        <f t="shared" si="305"/>
        <v>A</v>
      </c>
    </row>
    <row r="944" spans="1:17" x14ac:dyDescent="0.3">
      <c r="A944" s="1" t="str">
        <f t="shared" si="300"/>
        <v>C2</v>
      </c>
      <c r="B944" s="1" t="str">
        <f>"PATH0021"</f>
        <v>PATH0021</v>
      </c>
      <c r="C944" s="1" t="str">
        <f>"기타(직접기입)"</f>
        <v>기타(직접기입)</v>
      </c>
      <c r="D944" s="1" t="str">
        <f>"▶대장 조직검사 결과"</f>
        <v>▶대장 조직검사 결과</v>
      </c>
      <c r="E944" s="1" t="str">
        <f t="shared" si="306"/>
        <v>WOK02</v>
      </c>
      <c r="F944" s="1" t="str">
        <f t="shared" si="307"/>
        <v>PTM04</v>
      </c>
      <c r="G944" s="1" t="str">
        <f>""</f>
        <v/>
      </c>
      <c r="H944" s="1" t="str">
        <f t="shared" si="308"/>
        <v>REL37</v>
      </c>
      <c r="I944" s="1" t="str">
        <f>""</f>
        <v/>
      </c>
      <c r="J944" s="1" t="str">
        <f>""</f>
        <v/>
      </c>
      <c r="K944" s="1" t="str">
        <f>""</f>
        <v/>
      </c>
      <c r="L944" s="1" t="str">
        <f t="shared" si="303"/>
        <v>R</v>
      </c>
      <c r="M944" s="1" t="str">
        <f>""</f>
        <v/>
      </c>
      <c r="N944" s="1" t="str">
        <f t="shared" si="299"/>
        <v>Y</v>
      </c>
      <c r="O944" s="1" t="str">
        <f t="shared" si="304"/>
        <v>Y</v>
      </c>
      <c r="P944" s="1" t="str">
        <f t="shared" si="291"/>
        <v>Y</v>
      </c>
      <c r="Q944" s="1" t="str">
        <f t="shared" si="305"/>
        <v>A</v>
      </c>
    </row>
    <row r="945" spans="1:17" x14ac:dyDescent="0.3">
      <c r="A945" s="1" t="str">
        <f t="shared" si="300"/>
        <v>C2</v>
      </c>
      <c r="B945" s="1" t="str">
        <f>"PATHO001"</f>
        <v>PATHO001</v>
      </c>
      <c r="C945" s="1" t="str">
        <f>"관상 선종 (대장)"</f>
        <v>관상 선종 (대장)</v>
      </c>
      <c r="D945" s="1" t="str">
        <f>"▶ 대장 조직검사 결과 관상 선종입니다. 관상 선종은 제거하지 않은 경우 악성화 할 수 있는 종양병변입니다. 재발 가능성이 있으므로 정기적인 대장내시경 검진을 받으시기 바랍니다."</f>
        <v>▶ 대장 조직검사 결과 관상 선종입니다. 관상 선종은 제거하지 않은 경우 악성화 할 수 있는 종양병변입니다. 재발 가능성이 있으므로 정기적인 대장내시경 검진을 받으시기 바랍니다.</v>
      </c>
      <c r="E945" s="1" t="str">
        <f t="shared" si="306"/>
        <v>WOK02</v>
      </c>
      <c r="F945" s="1" t="str">
        <f t="shared" si="307"/>
        <v>PTM04</v>
      </c>
      <c r="G945" s="1" t="str">
        <f>""</f>
        <v/>
      </c>
      <c r="H945" s="1" t="str">
        <f t="shared" si="308"/>
        <v>REL37</v>
      </c>
      <c r="I945" s="1" t="str">
        <f>"HWFIRE01"</f>
        <v>HWFIRE01</v>
      </c>
      <c r="J945" s="1" t="str">
        <f>""</f>
        <v/>
      </c>
      <c r="K945" s="1" t="str">
        <f>""</f>
        <v/>
      </c>
      <c r="L945" s="1" t="str">
        <f t="shared" si="303"/>
        <v>R</v>
      </c>
      <c r="M945" s="1" t="str">
        <f>""</f>
        <v/>
      </c>
      <c r="N945" s="1" t="str">
        <f t="shared" si="299"/>
        <v>Y</v>
      </c>
      <c r="O945" s="1" t="str">
        <f t="shared" si="304"/>
        <v>Y</v>
      </c>
      <c r="P945" s="1" t="str">
        <f t="shared" si="291"/>
        <v>Y</v>
      </c>
      <c r="Q945" s="1" t="str">
        <f t="shared" si="305"/>
        <v>A</v>
      </c>
    </row>
    <row r="946" spans="1:17" x14ac:dyDescent="0.3">
      <c r="A946" s="1" t="str">
        <f t="shared" si="300"/>
        <v>C2</v>
      </c>
      <c r="B946" s="1" t="str">
        <f>"PATHO002"</f>
        <v>PATHO002</v>
      </c>
      <c r="C946" s="1" t="str">
        <f>"톱니형 선종(대장)"</f>
        <v>톱니형 선종(대장)</v>
      </c>
      <c r="D946" s="1" t="str">
        <f>"▶대장 조직검사 결과 톱니형 선종입니다. 이는 추후 암으로 진행할 가능성이 높은 병변입니다. 재발 가능성이 있으므로 1년 내에 대장내시경 추적검사를 받으시기 바랍니다."</f>
        <v>▶대장 조직검사 결과 톱니형 선종입니다. 이는 추후 암으로 진행할 가능성이 높은 병변입니다. 재발 가능성이 있으므로 1년 내에 대장내시경 추적검사를 받으시기 바랍니다.</v>
      </c>
      <c r="E946" s="1" t="str">
        <f t="shared" si="306"/>
        <v>WOK02</v>
      </c>
      <c r="F946" s="1" t="str">
        <f t="shared" si="307"/>
        <v>PTM04</v>
      </c>
      <c r="G946" s="1" t="str">
        <f>""</f>
        <v/>
      </c>
      <c r="H946" s="1" t="str">
        <f t="shared" si="308"/>
        <v>REL37</v>
      </c>
      <c r="I946" s="1" t="str">
        <f>""</f>
        <v/>
      </c>
      <c r="J946" s="1" t="str">
        <f>""</f>
        <v/>
      </c>
      <c r="K946" s="1" t="str">
        <f>""</f>
        <v/>
      </c>
      <c r="L946" s="1" t="str">
        <f t="shared" si="303"/>
        <v>R</v>
      </c>
      <c r="M946" s="1" t="str">
        <f>""</f>
        <v/>
      </c>
      <c r="N946" s="1" t="str">
        <f t="shared" si="299"/>
        <v>Y</v>
      </c>
      <c r="O946" s="1" t="str">
        <f t="shared" si="304"/>
        <v>Y</v>
      </c>
      <c r="P946" s="1" t="str">
        <f t="shared" si="291"/>
        <v>Y</v>
      </c>
      <c r="Q946" s="1" t="str">
        <f t="shared" si="305"/>
        <v>A</v>
      </c>
    </row>
    <row r="947" spans="1:17" x14ac:dyDescent="0.3">
      <c r="A947" s="1" t="str">
        <f t="shared" si="300"/>
        <v>C2</v>
      </c>
      <c r="B947" s="1" t="str">
        <f>"PATHO003"</f>
        <v>PATHO003</v>
      </c>
      <c r="C947" s="1" t="str">
        <f>"과증식 용종 (대장)"</f>
        <v>과증식 용종 (대장)</v>
      </c>
      <c r="D947" s="1" t="str">
        <f>"▶대장 조직검사 결과 과증식 용종입니다. 경과관찰 하시고 정기적인 대장내시경 검진 받으시기 바랍니다."</f>
        <v>▶대장 조직검사 결과 과증식 용종입니다. 경과관찰 하시고 정기적인 대장내시경 검진 받으시기 바랍니다.</v>
      </c>
      <c r="E947" s="1" t="str">
        <f t="shared" si="306"/>
        <v>WOK02</v>
      </c>
      <c r="F947" s="1" t="str">
        <f t="shared" si="307"/>
        <v>PTM04</v>
      </c>
      <c r="G947" s="1" t="str">
        <f>""</f>
        <v/>
      </c>
      <c r="H947" s="1" t="str">
        <f t="shared" si="308"/>
        <v>REL37</v>
      </c>
      <c r="I947" s="1" t="str">
        <f>""</f>
        <v/>
      </c>
      <c r="J947" s="1" t="str">
        <f>""</f>
        <v/>
      </c>
      <c r="K947" s="1" t="str">
        <f>""</f>
        <v/>
      </c>
      <c r="L947" s="1" t="str">
        <f t="shared" si="303"/>
        <v>R</v>
      </c>
      <c r="M947" s="1" t="str">
        <f>""</f>
        <v/>
      </c>
      <c r="N947" s="1" t="str">
        <f t="shared" si="299"/>
        <v>Y</v>
      </c>
      <c r="O947" s="1" t="str">
        <f t="shared" si="304"/>
        <v>Y</v>
      </c>
      <c r="P947" s="1" t="str">
        <f t="shared" si="291"/>
        <v>Y</v>
      </c>
      <c r="Q947" s="1" t="str">
        <f t="shared" si="305"/>
        <v>A</v>
      </c>
    </row>
    <row r="948" spans="1:17" x14ac:dyDescent="0.3">
      <c r="A948" s="1" t="str">
        <f t="shared" si="300"/>
        <v>C2</v>
      </c>
      <c r="B948" s="1" t="str">
        <f>"PATHO014"</f>
        <v>PATHO014</v>
      </c>
      <c r="C948" s="1" t="str">
        <f>"만성 염증(대장)"</f>
        <v>만성 염증(대장)</v>
      </c>
      <c r="D948" s="1" t="s">
        <v>316</v>
      </c>
      <c r="E948" s="1" t="str">
        <f t="shared" si="306"/>
        <v>WOK02</v>
      </c>
      <c r="F948" s="1" t="str">
        <f t="shared" si="307"/>
        <v>PTM04</v>
      </c>
      <c r="G948" s="1" t="str">
        <f>""</f>
        <v/>
      </c>
      <c r="H948" s="1" t="str">
        <f t="shared" si="308"/>
        <v>REL37</v>
      </c>
      <c r="I948" s="1" t="str">
        <f>""</f>
        <v/>
      </c>
      <c r="J948" s="1" t="str">
        <f>""</f>
        <v/>
      </c>
      <c r="K948" s="1" t="str">
        <f>""</f>
        <v/>
      </c>
      <c r="L948" s="1" t="str">
        <f t="shared" si="303"/>
        <v>R</v>
      </c>
      <c r="M948" s="1" t="str">
        <f>""</f>
        <v/>
      </c>
      <c r="N948" s="1" t="str">
        <f t="shared" si="299"/>
        <v>Y</v>
      </c>
      <c r="O948" s="1" t="str">
        <f t="shared" si="304"/>
        <v>Y</v>
      </c>
      <c r="P948" s="1" t="str">
        <f t="shared" si="291"/>
        <v>Y</v>
      </c>
      <c r="Q948" s="1" t="str">
        <f t="shared" si="305"/>
        <v>A</v>
      </c>
    </row>
    <row r="949" spans="1:17" x14ac:dyDescent="0.3">
      <c r="A949" s="1" t="str">
        <f t="shared" si="300"/>
        <v>C2</v>
      </c>
      <c r="B949" s="1" t="str">
        <f>"PATHO015"</f>
        <v>PATHO015</v>
      </c>
      <c r="C949" s="1" t="str">
        <f>"만성 대장염"</f>
        <v>만성 대장염</v>
      </c>
      <c r="D949" s="1" t="s">
        <v>317</v>
      </c>
      <c r="E949" s="1" t="str">
        <f t="shared" si="306"/>
        <v>WOK02</v>
      </c>
      <c r="F949" s="1" t="str">
        <f t="shared" si="307"/>
        <v>PTM04</v>
      </c>
      <c r="G949" s="1" t="str">
        <f>""</f>
        <v/>
      </c>
      <c r="H949" s="1" t="str">
        <f t="shared" si="308"/>
        <v>REL37</v>
      </c>
      <c r="I949" s="1" t="str">
        <f>""</f>
        <v/>
      </c>
      <c r="J949" s="1" t="str">
        <f>""</f>
        <v/>
      </c>
      <c r="K949" s="1" t="str">
        <f>""</f>
        <v/>
      </c>
      <c r="L949" s="1" t="str">
        <f t="shared" si="303"/>
        <v>R</v>
      </c>
      <c r="M949" s="1" t="str">
        <f>""</f>
        <v/>
      </c>
      <c r="N949" s="1" t="str">
        <f t="shared" si="299"/>
        <v>Y</v>
      </c>
      <c r="O949" s="1" t="str">
        <f t="shared" si="304"/>
        <v>Y</v>
      </c>
      <c r="P949" s="1" t="str">
        <f t="shared" si="291"/>
        <v>Y</v>
      </c>
      <c r="Q949" s="1" t="str">
        <f t="shared" si="305"/>
        <v>A</v>
      </c>
    </row>
    <row r="950" spans="1:17" x14ac:dyDescent="0.3">
      <c r="A950" s="1" t="str">
        <f t="shared" si="300"/>
        <v>C2</v>
      </c>
      <c r="B950" s="1" t="str">
        <f>"PATHO023"</f>
        <v>PATHO023</v>
      </c>
      <c r="C950" s="1" t="str">
        <f>"관상융모상 선종(대장)"</f>
        <v>관상융모상 선종(대장)</v>
      </c>
      <c r="D950" s="1" t="str">
        <f>"▶대장 조직검사 결과 관상융모상 선종입니다. 이는 추후 암으로 진행할 가능성이 비교적 높은 병변입니다. 재발 가능성이 있으므로 2년 내에 대장내시경 추적검사를 받으시기 바랍니다."</f>
        <v>▶대장 조직검사 결과 관상융모상 선종입니다. 이는 추후 암으로 진행할 가능성이 비교적 높은 병변입니다. 재발 가능성이 있으므로 2년 내에 대장내시경 추적검사를 받으시기 바랍니다.</v>
      </c>
      <c r="E950" s="1" t="str">
        <f t="shared" si="306"/>
        <v>WOK02</v>
      </c>
      <c r="F950" s="1" t="str">
        <f t="shared" si="307"/>
        <v>PTM04</v>
      </c>
      <c r="G950" s="1" t="str">
        <f>""</f>
        <v/>
      </c>
      <c r="H950" s="1" t="str">
        <f t="shared" si="308"/>
        <v>REL37</v>
      </c>
      <c r="I950" s="1" t="str">
        <f>""</f>
        <v/>
      </c>
      <c r="J950" s="1" t="str">
        <f>""</f>
        <v/>
      </c>
      <c r="K950" s="1" t="str">
        <f>""</f>
        <v/>
      </c>
      <c r="L950" s="1" t="str">
        <f t="shared" si="303"/>
        <v>R</v>
      </c>
      <c r="M950" s="1" t="str">
        <f>""</f>
        <v/>
      </c>
      <c r="N950" s="1" t="str">
        <f t="shared" si="299"/>
        <v>Y</v>
      </c>
      <c r="O950" s="1" t="str">
        <f t="shared" si="304"/>
        <v>Y</v>
      </c>
      <c r="P950" s="1" t="str">
        <f t="shared" si="291"/>
        <v>Y</v>
      </c>
      <c r="Q950" s="1" t="str">
        <f t="shared" si="305"/>
        <v>A</v>
      </c>
    </row>
    <row r="951" spans="1:17" x14ac:dyDescent="0.3">
      <c r="A951" s="1" t="str">
        <f t="shared" si="300"/>
        <v>C2</v>
      </c>
      <c r="B951" s="1" t="str">
        <f>"PFT301"</f>
        <v>PFT301</v>
      </c>
      <c r="C951" s="1" t="str">
        <f>"폐쇄성 폐질환 주의"</f>
        <v>폐쇄성 폐질환 주의</v>
      </c>
      <c r="D951" s="1" t="s">
        <v>318</v>
      </c>
      <c r="E951" s="1" t="str">
        <f t="shared" si="306"/>
        <v>WOK02</v>
      </c>
      <c r="F951" s="1" t="str">
        <f>"PTM03"</f>
        <v>PTM03</v>
      </c>
      <c r="G951" s="1" t="str">
        <f>"DISJ"</f>
        <v>DISJ</v>
      </c>
      <c r="H951" s="1" t="str">
        <f>"REL15"</f>
        <v>REL15</v>
      </c>
      <c r="I951" s="1" t="str">
        <f>""</f>
        <v/>
      </c>
      <c r="J951" s="1" t="str">
        <f t="shared" ref="J951:K953" si="309">"C40C"</f>
        <v>C40C</v>
      </c>
      <c r="K951" s="1" t="str">
        <f t="shared" si="309"/>
        <v>C40C</v>
      </c>
      <c r="L951" s="1" t="str">
        <f t="shared" si="303"/>
        <v>R</v>
      </c>
      <c r="M951" s="1" t="str">
        <f>"T04"</f>
        <v>T04</v>
      </c>
      <c r="N951" s="1" t="str">
        <f t="shared" si="299"/>
        <v>Y</v>
      </c>
      <c r="O951" s="1" t="str">
        <f t="shared" si="304"/>
        <v>Y</v>
      </c>
      <c r="P951" s="1" t="str">
        <f t="shared" si="291"/>
        <v>Y</v>
      </c>
      <c r="Q951" s="1" t="str">
        <f t="shared" si="305"/>
        <v>A</v>
      </c>
    </row>
    <row r="952" spans="1:17" x14ac:dyDescent="0.3">
      <c r="A952" s="1" t="str">
        <f t="shared" si="300"/>
        <v>C2</v>
      </c>
      <c r="B952" s="1" t="str">
        <f>"PFT311"</f>
        <v>PFT311</v>
      </c>
      <c r="C952" s="1" t="str">
        <f>"제한성 폐질환 주의"</f>
        <v>제한성 폐질환 주의</v>
      </c>
      <c r="D952" s="1" t="s">
        <v>319</v>
      </c>
      <c r="E952" s="1" t="str">
        <f t="shared" si="306"/>
        <v>WOK02</v>
      </c>
      <c r="F952" s="1" t="str">
        <f>"PTM03"</f>
        <v>PTM03</v>
      </c>
      <c r="G952" s="1" t="str">
        <f>"DISJ"</f>
        <v>DISJ</v>
      </c>
      <c r="H952" s="1" t="str">
        <f>"REL15"</f>
        <v>REL15</v>
      </c>
      <c r="I952" s="1" t="str">
        <f>""</f>
        <v/>
      </c>
      <c r="J952" s="1" t="str">
        <f t="shared" si="309"/>
        <v>C40C</v>
      </c>
      <c r="K952" s="1" t="str">
        <f t="shared" si="309"/>
        <v>C40C</v>
      </c>
      <c r="L952" s="1" t="str">
        <f t="shared" si="303"/>
        <v>R</v>
      </c>
      <c r="M952" s="1" t="str">
        <f>"T04"</f>
        <v>T04</v>
      </c>
      <c r="N952" s="1" t="str">
        <f t="shared" si="299"/>
        <v>Y</v>
      </c>
      <c r="O952" s="1" t="str">
        <f t="shared" si="304"/>
        <v>Y</v>
      </c>
      <c r="P952" s="1" t="str">
        <f t="shared" si="291"/>
        <v>Y</v>
      </c>
      <c r="Q952" s="1" t="str">
        <f t="shared" si="305"/>
        <v>A</v>
      </c>
    </row>
    <row r="953" spans="1:17" x14ac:dyDescent="0.3">
      <c r="A953" s="1" t="str">
        <f t="shared" si="300"/>
        <v>C2</v>
      </c>
      <c r="B953" s="1" t="str">
        <f>"PFT321"</f>
        <v>PFT321</v>
      </c>
      <c r="C953" s="1" t="str">
        <f>"혼합성 폐질환 주의"</f>
        <v>혼합성 폐질환 주의</v>
      </c>
      <c r="D953" s="1" t="s">
        <v>320</v>
      </c>
      <c r="E953" s="1" t="str">
        <f t="shared" si="306"/>
        <v>WOK02</v>
      </c>
      <c r="F953" s="1" t="str">
        <f>"PTM03"</f>
        <v>PTM03</v>
      </c>
      <c r="G953" s="1" t="str">
        <f>"DISJ"</f>
        <v>DISJ</v>
      </c>
      <c r="H953" s="1" t="str">
        <f>"REL15"</f>
        <v>REL15</v>
      </c>
      <c r="I953" s="1" t="str">
        <f>""</f>
        <v/>
      </c>
      <c r="J953" s="1" t="str">
        <f t="shared" si="309"/>
        <v>C40C</v>
      </c>
      <c r="K953" s="1" t="str">
        <f t="shared" si="309"/>
        <v>C40C</v>
      </c>
      <c r="L953" s="1" t="str">
        <f t="shared" si="303"/>
        <v>R</v>
      </c>
      <c r="M953" s="1" t="str">
        <f>"T04"</f>
        <v>T04</v>
      </c>
      <c r="N953" s="1" t="str">
        <f t="shared" si="299"/>
        <v>Y</v>
      </c>
      <c r="O953" s="1" t="str">
        <f t="shared" si="304"/>
        <v>Y</v>
      </c>
      <c r="P953" s="1" t="str">
        <f t="shared" si="291"/>
        <v>Y</v>
      </c>
      <c r="Q953" s="1" t="str">
        <f t="shared" si="305"/>
        <v>A</v>
      </c>
    </row>
    <row r="954" spans="1:17" x14ac:dyDescent="0.3">
      <c r="A954" s="1" t="str">
        <f t="shared" si="300"/>
        <v>C2</v>
      </c>
      <c r="B954" s="1" t="str">
        <f>"PFT501"</f>
        <v>PFT501</v>
      </c>
      <c r="C954" s="1" t="str">
        <f>"만성 폐쇄성 폐질환의심"</f>
        <v>만성 폐쇄성 폐질환의심</v>
      </c>
      <c r="D954" s="1" t="s">
        <v>321</v>
      </c>
      <c r="E954" s="1" t="str">
        <f t="shared" si="306"/>
        <v>WOK02</v>
      </c>
      <c r="F954" s="1" t="str">
        <f>"PTM01"</f>
        <v>PTM01</v>
      </c>
      <c r="G954" s="1" t="str">
        <f>"DISJ"</f>
        <v>DISJ</v>
      </c>
      <c r="H954" s="1" t="str">
        <f>"REL02"</f>
        <v>REL02</v>
      </c>
      <c r="I954" s="1" t="str">
        <f>""</f>
        <v/>
      </c>
      <c r="J954" s="1" t="str">
        <f>"C40R"</f>
        <v>C40R</v>
      </c>
      <c r="K954" s="1" t="str">
        <f>"C40R"</f>
        <v>C40R</v>
      </c>
      <c r="L954" s="1" t="str">
        <f t="shared" si="303"/>
        <v>R</v>
      </c>
      <c r="M954" s="1" t="str">
        <f>"T04"</f>
        <v>T04</v>
      </c>
      <c r="N954" s="1" t="str">
        <f t="shared" si="299"/>
        <v>Y</v>
      </c>
      <c r="O954" s="1" t="str">
        <f t="shared" si="304"/>
        <v>Y</v>
      </c>
      <c r="P954" s="1" t="str">
        <f t="shared" si="291"/>
        <v>Y</v>
      </c>
      <c r="Q954" s="1" t="str">
        <f t="shared" si="305"/>
        <v>A</v>
      </c>
    </row>
    <row r="955" spans="1:17" x14ac:dyDescent="0.3">
      <c r="A955" s="1" t="str">
        <f t="shared" si="300"/>
        <v>C2</v>
      </c>
      <c r="B955" s="1" t="str">
        <f>"PLT301"</f>
        <v>PLT301</v>
      </c>
      <c r="C955" s="1" t="str">
        <f>"혈소판감소증주의"</f>
        <v>혈소판감소증주의</v>
      </c>
      <c r="D955" s="1" t="str">
        <f>"혈소판이 다소 감소되어 있습니다. 대부분 일시적이거나 병적상태가 아닌 경우가 많으나 추적검사는 필요합니다."</f>
        <v>혈소판이 다소 감소되어 있습니다. 대부분 일시적이거나 병적상태가 아닌 경우가 많으나 추적검사는 필요합니다.</v>
      </c>
      <c r="E955" s="1" t="str">
        <f t="shared" si="306"/>
        <v>WOK02</v>
      </c>
      <c r="F955" s="1" t="str">
        <f>"PTM033"</f>
        <v>PTM033</v>
      </c>
      <c r="G955" s="1" t="str">
        <f>"DISD"</f>
        <v>DISD</v>
      </c>
      <c r="H955" s="1" t="str">
        <f>"REL12"</f>
        <v>REL12</v>
      </c>
      <c r="I955" s="1" t="str">
        <f>""</f>
        <v/>
      </c>
      <c r="J955" s="1" t="str">
        <f t="shared" ref="J955:K957" si="310">"C34C"</f>
        <v>C34C</v>
      </c>
      <c r="K955" s="1" t="str">
        <f t="shared" si="310"/>
        <v>C34C</v>
      </c>
      <c r="L955" s="1" t="str">
        <f t="shared" si="303"/>
        <v>R</v>
      </c>
      <c r="M955" s="1" t="str">
        <f>"T01"</f>
        <v>T01</v>
      </c>
      <c r="N955" s="1" t="str">
        <f t="shared" si="299"/>
        <v>Y</v>
      </c>
      <c r="O955" s="1" t="str">
        <f t="shared" si="304"/>
        <v>Y</v>
      </c>
      <c r="P955" s="1" t="str">
        <f t="shared" si="291"/>
        <v>Y</v>
      </c>
      <c r="Q955" s="1" t="str">
        <f t="shared" si="305"/>
        <v>A</v>
      </c>
    </row>
    <row r="956" spans="1:17" x14ac:dyDescent="0.3">
      <c r="A956" s="1" t="str">
        <f t="shared" si="300"/>
        <v>C2</v>
      </c>
      <c r="B956" s="1" t="str">
        <f>"PLT302"</f>
        <v>PLT302</v>
      </c>
      <c r="C956" s="1" t="str">
        <f>"혈소판증가증주의"</f>
        <v>혈소판증가증주의</v>
      </c>
      <c r="D956" s="1" t="str">
        <f>"혈소판의 수치가 정상범위보다 높습니다. 대부분 일시적이거나 병적상태가 아닌 경우가 많으나 추적검사는 필요합니다."</f>
        <v>혈소판의 수치가 정상범위보다 높습니다. 대부분 일시적이거나 병적상태가 아닌 경우가 많으나 추적검사는 필요합니다.</v>
      </c>
      <c r="E956" s="1" t="str">
        <f t="shared" si="306"/>
        <v>WOK02</v>
      </c>
      <c r="F956" s="1" t="str">
        <f>"PTM033"</f>
        <v>PTM033</v>
      </c>
      <c r="G956" s="1" t="str">
        <f>"DISD"</f>
        <v>DISD</v>
      </c>
      <c r="H956" s="1" t="str">
        <f>"REL12"</f>
        <v>REL12</v>
      </c>
      <c r="I956" s="1" t="str">
        <f>""</f>
        <v/>
      </c>
      <c r="J956" s="1" t="str">
        <f t="shared" si="310"/>
        <v>C34C</v>
      </c>
      <c r="K956" s="1" t="str">
        <f t="shared" si="310"/>
        <v>C34C</v>
      </c>
      <c r="L956" s="1" t="str">
        <f t="shared" si="303"/>
        <v>R</v>
      </c>
      <c r="M956" s="1" t="str">
        <f>"T01"</f>
        <v>T01</v>
      </c>
      <c r="N956" s="1" t="str">
        <f t="shared" si="299"/>
        <v>Y</v>
      </c>
      <c r="O956" s="1" t="str">
        <f t="shared" si="304"/>
        <v>Y</v>
      </c>
      <c r="P956" s="1" t="str">
        <f t="shared" si="291"/>
        <v>Y</v>
      </c>
      <c r="Q956" s="1" t="str">
        <f t="shared" si="305"/>
        <v>A</v>
      </c>
    </row>
    <row r="957" spans="1:17" x14ac:dyDescent="0.3">
      <c r="A957" s="1" t="str">
        <f t="shared" si="300"/>
        <v>C2</v>
      </c>
      <c r="B957" s="1" t="str">
        <f>"PLT303"</f>
        <v>PLT303</v>
      </c>
      <c r="C957" s="1" t="str">
        <f>"거대 혈소판"</f>
        <v>거대 혈소판</v>
      </c>
      <c r="D957" s="1" t="str">
        <f>"혈소판의 크기가 큰 거대 혈소판이 관찰됩니다. 혈액질환 여부를 확인하기 위해 혈액내과 진료를 받으시기 바랍니다."</f>
        <v>혈소판의 크기가 큰 거대 혈소판이 관찰됩니다. 혈액질환 여부를 확인하기 위해 혈액내과 진료를 받으시기 바랍니다.</v>
      </c>
      <c r="E957" s="1" t="str">
        <f t="shared" si="306"/>
        <v>WOK02</v>
      </c>
      <c r="F957" s="1" t="str">
        <f>""</f>
        <v/>
      </c>
      <c r="G957" s="1" t="str">
        <f>"DISD"</f>
        <v>DISD</v>
      </c>
      <c r="H957" s="1" t="str">
        <f>"REL12"</f>
        <v>REL12</v>
      </c>
      <c r="I957" s="1" t="str">
        <f>""</f>
        <v/>
      </c>
      <c r="J957" s="1" t="str">
        <f t="shared" si="310"/>
        <v>C34C</v>
      </c>
      <c r="K957" s="1" t="str">
        <f t="shared" si="310"/>
        <v>C34C</v>
      </c>
      <c r="L957" s="1" t="str">
        <f t="shared" si="303"/>
        <v>R</v>
      </c>
      <c r="M957" s="1" t="str">
        <f>"T01"</f>
        <v>T01</v>
      </c>
      <c r="N957" s="1" t="str">
        <f t="shared" si="299"/>
        <v>Y</v>
      </c>
      <c r="O957" s="1" t="str">
        <f t="shared" si="304"/>
        <v>Y</v>
      </c>
      <c r="P957" s="1" t="str">
        <f t="shared" si="291"/>
        <v>Y</v>
      </c>
      <c r="Q957" s="1" t="str">
        <f t="shared" si="305"/>
        <v>A</v>
      </c>
    </row>
    <row r="958" spans="1:17" x14ac:dyDescent="0.3">
      <c r="A958" s="1" t="str">
        <f t="shared" si="300"/>
        <v>C2</v>
      </c>
      <c r="B958" s="1" t="str">
        <f>"PRE000"</f>
        <v>PRE000</v>
      </c>
      <c r="C958" s="1" t="str">
        <f>"배치 부적합"</f>
        <v>배치 부적합</v>
      </c>
      <c r="D958" s="1" t="str">
        <f>"현재 중증도의 간기능 저하 소견이 있습니다. 간독성이 있는 화학물질을 취급하는 업무이므로 현재 상태에서는 배치가 부적절합니다. 간염 치료 후 재판단이 필요합니다"</f>
        <v>현재 중증도의 간기능 저하 소견이 있습니다. 간독성이 있는 화학물질을 취급하는 업무이므로 현재 상태에서는 배치가 부적절합니다. 간염 치료 후 재판단이 필요합니다</v>
      </c>
      <c r="E958" s="1" t="str">
        <f t="shared" si="306"/>
        <v>WOK02</v>
      </c>
      <c r="F958" s="1" t="str">
        <f>"PTM01"</f>
        <v>PTM01</v>
      </c>
      <c r="G958" s="1" t="str">
        <f>"DISK"</f>
        <v>DISK</v>
      </c>
      <c r="H958" s="1" t="str">
        <f>"REL05"</f>
        <v>REL05</v>
      </c>
      <c r="I958" s="1" t="str">
        <f>""</f>
        <v/>
      </c>
      <c r="J958" s="1" t="str">
        <f>"C05C"</f>
        <v>C05C</v>
      </c>
      <c r="K958" s="1" t="str">
        <f>"C05C"</f>
        <v>C05C</v>
      </c>
      <c r="L958" s="1" t="str">
        <f t="shared" si="303"/>
        <v>R</v>
      </c>
      <c r="M958" s="1" t="str">
        <f>"T02"</f>
        <v>T02</v>
      </c>
      <c r="N958" s="1" t="str">
        <f t="shared" si="299"/>
        <v>Y</v>
      </c>
      <c r="O958" s="1" t="str">
        <f t="shared" si="304"/>
        <v>Y</v>
      </c>
      <c r="P958" s="1" t="str">
        <f t="shared" si="291"/>
        <v>Y</v>
      </c>
      <c r="Q958" s="1" t="str">
        <f t="shared" si="305"/>
        <v>A</v>
      </c>
    </row>
    <row r="959" spans="1:17" x14ac:dyDescent="0.3">
      <c r="A959" s="1" t="str">
        <f t="shared" si="300"/>
        <v>C2</v>
      </c>
      <c r="B959" s="1" t="str">
        <f>"PRE011"</f>
        <v>PRE011</v>
      </c>
      <c r="C959" s="1" t="str">
        <f>"배치가능 (소음작업)"</f>
        <v>배치가능 (소음작업)</v>
      </c>
      <c r="D959" s="1" t="s">
        <v>322</v>
      </c>
      <c r="E959" s="1" t="str">
        <f t="shared" si="306"/>
        <v>WOK02</v>
      </c>
      <c r="F959" s="1" t="str">
        <f>"PTM01"</f>
        <v>PTM01</v>
      </c>
      <c r="G959" s="1" t="str">
        <f>"DISH"</f>
        <v>DISH</v>
      </c>
      <c r="H959" s="1" t="str">
        <f>"REL19"</f>
        <v>REL19</v>
      </c>
      <c r="I959" s="1" t="str">
        <f>""</f>
        <v/>
      </c>
      <c r="J959" s="1" t="str">
        <f>"C55C"</f>
        <v>C55C</v>
      </c>
      <c r="K959" s="1" t="str">
        <f>"C55C"</f>
        <v>C55C</v>
      </c>
      <c r="L959" s="1" t="str">
        <f t="shared" si="303"/>
        <v>R</v>
      </c>
      <c r="M959" s="1" t="str">
        <f>"T10"</f>
        <v>T10</v>
      </c>
      <c r="N959" s="1" t="str">
        <f t="shared" si="299"/>
        <v>Y</v>
      </c>
      <c r="O959" s="1" t="str">
        <f t="shared" si="304"/>
        <v>Y</v>
      </c>
      <c r="P959" s="1" t="str">
        <f t="shared" si="291"/>
        <v>Y</v>
      </c>
      <c r="Q959" s="1" t="str">
        <f>"L"</f>
        <v>L</v>
      </c>
    </row>
    <row r="960" spans="1:17" x14ac:dyDescent="0.3">
      <c r="A960" s="1" t="str">
        <f t="shared" si="300"/>
        <v>C2</v>
      </c>
      <c r="B960" s="1" t="str">
        <f>"PRE012"</f>
        <v>PRE012</v>
      </c>
      <c r="C960" s="1" t="str">
        <f>"배치가능 (소음작업)"</f>
        <v>배치가능 (소음작업)</v>
      </c>
      <c r="D960" s="1" t="s">
        <v>323</v>
      </c>
      <c r="E960" s="1" t="str">
        <f t="shared" si="306"/>
        <v>WOK02</v>
      </c>
      <c r="F960" s="1" t="str">
        <f>"PTM01"</f>
        <v>PTM01</v>
      </c>
      <c r="G960" s="1" t="str">
        <f>"DISH"</f>
        <v>DISH</v>
      </c>
      <c r="H960" s="1" t="str">
        <f>"REL19"</f>
        <v>REL19</v>
      </c>
      <c r="I960" s="1" t="str">
        <f>""</f>
        <v/>
      </c>
      <c r="J960" s="1" t="str">
        <f>"C55C"</f>
        <v>C55C</v>
      </c>
      <c r="K960" s="1" t="str">
        <f>"C55C"</f>
        <v>C55C</v>
      </c>
      <c r="L960" s="1" t="str">
        <f t="shared" si="303"/>
        <v>R</v>
      </c>
      <c r="M960" s="1" t="str">
        <f>"T10"</f>
        <v>T10</v>
      </c>
      <c r="N960" s="1" t="str">
        <f t="shared" si="299"/>
        <v>Y</v>
      </c>
      <c r="O960" s="1" t="str">
        <f t="shared" si="304"/>
        <v>Y</v>
      </c>
      <c r="P960" s="1" t="str">
        <f t="shared" si="291"/>
        <v>Y</v>
      </c>
      <c r="Q960" s="1" t="str">
        <f>"R"</f>
        <v>R</v>
      </c>
    </row>
    <row r="961" spans="1:17" x14ac:dyDescent="0.3">
      <c r="A961" s="1" t="str">
        <f t="shared" si="300"/>
        <v>C2</v>
      </c>
      <c r="B961" s="1" t="str">
        <f>"PTU301"</f>
        <v>PTU301</v>
      </c>
      <c r="C961" s="1" t="str">
        <f>"단백뇨주의"</f>
        <v>단백뇨주의</v>
      </c>
      <c r="D961" s="1" t="str">
        <f>"소변에 지속적 단백뇨가 있습니다. 단백뇨에 대한 추적검사가 필요합니다. 외래방문하세요"</f>
        <v>소변에 지속적 단백뇨가 있습니다. 단백뇨에 대한 추적검사가 필요합니다. 외래방문하세요</v>
      </c>
      <c r="E961" s="1" t="str">
        <f t="shared" si="306"/>
        <v>WOK02</v>
      </c>
      <c r="F961" s="1" t="str">
        <f>"PTM033"</f>
        <v>PTM033</v>
      </c>
      <c r="G961" s="1" t="str">
        <f>"DISN"</f>
        <v>DISN</v>
      </c>
      <c r="H961" s="1" t="str">
        <f>"REL08"</f>
        <v>REL08</v>
      </c>
      <c r="I961" s="1" t="str">
        <f>""</f>
        <v/>
      </c>
      <c r="J961" s="1" t="str">
        <f>"C07C"</f>
        <v>C07C</v>
      </c>
      <c r="K961" s="1" t="str">
        <f>"C07C"</f>
        <v>C07C</v>
      </c>
      <c r="L961" s="1" t="str">
        <f t="shared" si="303"/>
        <v>R</v>
      </c>
      <c r="M961" s="1" t="str">
        <f>"T05"</f>
        <v>T05</v>
      </c>
      <c r="N961" s="1" t="str">
        <f t="shared" si="299"/>
        <v>Y</v>
      </c>
      <c r="O961" s="1" t="str">
        <f t="shared" si="304"/>
        <v>Y</v>
      </c>
      <c r="P961" s="1" t="str">
        <f t="shared" si="291"/>
        <v>Y</v>
      </c>
      <c r="Q961" s="1" t="str">
        <f t="shared" ref="Q961:Q992" si="311">"A"</f>
        <v>A</v>
      </c>
    </row>
    <row r="962" spans="1:17" x14ac:dyDescent="0.3">
      <c r="A962" s="1" t="str">
        <f t="shared" si="300"/>
        <v>C2</v>
      </c>
      <c r="B962" s="1" t="str">
        <f>"PUL203H"</f>
        <v>PUL203H</v>
      </c>
      <c r="C962" s="1" t="str">
        <f>"흉막 비후"</f>
        <v>흉막 비후</v>
      </c>
      <c r="D962" s="1" t="s">
        <v>133</v>
      </c>
      <c r="E962" s="1" t="str">
        <f t="shared" si="306"/>
        <v>WOK02</v>
      </c>
      <c r="F962" s="1" t="str">
        <f>"PTM03"</f>
        <v>PTM03</v>
      </c>
      <c r="G962" s="1" t="str">
        <f>"DISJ"</f>
        <v>DISJ</v>
      </c>
      <c r="H962" s="1" t="str">
        <f>"REL02"</f>
        <v>REL02</v>
      </c>
      <c r="I962" s="1" t="str">
        <f>""</f>
        <v/>
      </c>
      <c r="J962" s="1" t="str">
        <f t="shared" ref="J962:K970" si="312">"C02C"</f>
        <v>C02C</v>
      </c>
      <c r="K962" s="1" t="str">
        <f t="shared" si="312"/>
        <v>C02C</v>
      </c>
      <c r="L962" s="1" t="str">
        <f t="shared" si="303"/>
        <v>R</v>
      </c>
      <c r="M962" s="1" t="str">
        <f>"T04"</f>
        <v>T04</v>
      </c>
      <c r="N962" s="1" t="str">
        <f t="shared" si="299"/>
        <v>Y</v>
      </c>
      <c r="O962" s="1" t="str">
        <f t="shared" si="304"/>
        <v>Y</v>
      </c>
      <c r="P962" s="1" t="str">
        <f t="shared" si="291"/>
        <v>Y</v>
      </c>
      <c r="Q962" s="1" t="str">
        <f t="shared" si="311"/>
        <v>A</v>
      </c>
    </row>
    <row r="963" spans="1:17" x14ac:dyDescent="0.3">
      <c r="A963" s="1" t="str">
        <f t="shared" si="300"/>
        <v>C2</v>
      </c>
      <c r="B963" s="1" t="str">
        <f>"PUL213"</f>
        <v>PUL213</v>
      </c>
      <c r="C963" s="1" t="str">
        <f>"석회화 폐결절"</f>
        <v>석회화 폐결절</v>
      </c>
      <c r="D963" s="1" t="str">
        <f>"과거필름과 비교판독한 결과 기간내 변화가 없습니다. 염증흔적으로 병적소견은 아닙니다."</f>
        <v>과거필름과 비교판독한 결과 기간내 변화가 없습니다. 염증흔적으로 병적소견은 아닙니다.</v>
      </c>
      <c r="E963" s="1" t="str">
        <f t="shared" si="306"/>
        <v>WOK02</v>
      </c>
      <c r="F963" s="1" t="str">
        <f>"PTM01"</f>
        <v>PTM01</v>
      </c>
      <c r="G963" s="1" t="str">
        <f>"DISJ"</f>
        <v>DISJ</v>
      </c>
      <c r="H963" s="1" t="str">
        <f>"REL02"</f>
        <v>REL02</v>
      </c>
      <c r="I963" s="1" t="str">
        <f>""</f>
        <v/>
      </c>
      <c r="J963" s="1" t="str">
        <f t="shared" si="312"/>
        <v>C02C</v>
      </c>
      <c r="K963" s="1" t="str">
        <f t="shared" si="312"/>
        <v>C02C</v>
      </c>
      <c r="L963" s="1" t="str">
        <f t="shared" si="303"/>
        <v>R</v>
      </c>
      <c r="M963" s="1" t="str">
        <f>"T04"</f>
        <v>T04</v>
      </c>
      <c r="N963" s="1" t="str">
        <f t="shared" si="299"/>
        <v>Y</v>
      </c>
      <c r="O963" s="1" t="str">
        <f t="shared" si="304"/>
        <v>Y</v>
      </c>
      <c r="P963" s="1" t="str">
        <f t="shared" si="291"/>
        <v>Y</v>
      </c>
      <c r="Q963" s="1" t="str">
        <f t="shared" si="311"/>
        <v>A</v>
      </c>
    </row>
    <row r="964" spans="1:17" x14ac:dyDescent="0.3">
      <c r="A964" s="1" t="str">
        <f t="shared" si="300"/>
        <v>C2</v>
      </c>
      <c r="B964" s="1" t="str">
        <f>"PUL214"</f>
        <v>PUL214</v>
      </c>
      <c r="C964" s="1" t="str">
        <f>"심비대"</f>
        <v>심비대</v>
      </c>
      <c r="D964" s="1" t="str">
        <f>"심장이 큰 편입니다. 평소 혈압 관리를 잘 하시고 숨이 차는 등의 호흡기 증상 있을시 내과진료 받으시기 바랍니다."</f>
        <v>심장이 큰 편입니다. 평소 혈압 관리를 잘 하시고 숨이 차는 등의 호흡기 증상 있을시 내과진료 받으시기 바랍니다.</v>
      </c>
      <c r="E964" s="1" t="str">
        <f t="shared" si="306"/>
        <v>WOK02</v>
      </c>
      <c r="F964" s="1" t="str">
        <f>"PTM01"</f>
        <v>PTM01</v>
      </c>
      <c r="G964" s="1" t="str">
        <f>"DISI"</f>
        <v>DISI</v>
      </c>
      <c r="H964" s="1" t="str">
        <f>"REL06"</f>
        <v>REL06</v>
      </c>
      <c r="I964" s="1" t="str">
        <f>""</f>
        <v/>
      </c>
      <c r="J964" s="1" t="str">
        <f t="shared" si="312"/>
        <v>C02C</v>
      </c>
      <c r="K964" s="1" t="str">
        <f t="shared" si="312"/>
        <v>C02C</v>
      </c>
      <c r="L964" s="1" t="str">
        <f t="shared" si="303"/>
        <v>R</v>
      </c>
      <c r="M964" s="1" t="str">
        <f>"T03"</f>
        <v>T03</v>
      </c>
      <c r="N964" s="1" t="str">
        <f t="shared" si="299"/>
        <v>Y</v>
      </c>
      <c r="O964" s="1" t="str">
        <f t="shared" si="304"/>
        <v>Y</v>
      </c>
      <c r="P964" s="1" t="str">
        <f t="shared" si="291"/>
        <v>Y</v>
      </c>
      <c r="Q964" s="1" t="str">
        <f t="shared" si="311"/>
        <v>A</v>
      </c>
    </row>
    <row r="965" spans="1:17" x14ac:dyDescent="0.3">
      <c r="A965" s="1" t="str">
        <f t="shared" si="300"/>
        <v>C2</v>
      </c>
      <c r="B965" s="1" t="str">
        <f>"PUL214T"</f>
        <v>PUL214T</v>
      </c>
      <c r="C965" s="1" t="str">
        <f>"경미한 심비대"</f>
        <v>경미한 심비대</v>
      </c>
      <c r="D965" s="1" t="str">
        <f>"심장이 약간 큰 편입니다. 평소 혈압 관리를 잘 하시고 숨이 차는 등의 호흡기 증상 있을시 내과진료 받으시기 바랍니다."</f>
        <v>심장이 약간 큰 편입니다. 평소 혈압 관리를 잘 하시고 숨이 차는 등의 호흡기 증상 있을시 내과진료 받으시기 바랍니다.</v>
      </c>
      <c r="E965" s="1" t="str">
        <f t="shared" si="306"/>
        <v>WOK02</v>
      </c>
      <c r="F965" s="1" t="str">
        <f>"PTM01"</f>
        <v>PTM01</v>
      </c>
      <c r="G965" s="1" t="str">
        <f>"DISI"</f>
        <v>DISI</v>
      </c>
      <c r="H965" s="1" t="str">
        <f>"REL06"</f>
        <v>REL06</v>
      </c>
      <c r="I965" s="1" t="str">
        <f>""</f>
        <v/>
      </c>
      <c r="J965" s="1" t="str">
        <f t="shared" si="312"/>
        <v>C02C</v>
      </c>
      <c r="K965" s="1" t="str">
        <f t="shared" si="312"/>
        <v>C02C</v>
      </c>
      <c r="L965" s="1" t="str">
        <f t="shared" si="303"/>
        <v>R</v>
      </c>
      <c r="M965" s="1" t="str">
        <f>"T03"</f>
        <v>T03</v>
      </c>
      <c r="N965" s="1" t="str">
        <f t="shared" si="299"/>
        <v>Y</v>
      </c>
      <c r="O965" s="1" t="str">
        <f t="shared" si="304"/>
        <v>Y</v>
      </c>
      <c r="P965" s="1" t="str">
        <f t="shared" si="291"/>
        <v>Y</v>
      </c>
      <c r="Q965" s="1" t="str">
        <f t="shared" si="311"/>
        <v>A</v>
      </c>
    </row>
    <row r="966" spans="1:17" x14ac:dyDescent="0.3">
      <c r="A966" s="1" t="str">
        <f t="shared" si="300"/>
        <v>C2</v>
      </c>
      <c r="B966" s="1" t="str">
        <f>"PUL215T"</f>
        <v>PUL215T</v>
      </c>
      <c r="C966" s="1" t="str">
        <f>"석회화 결절"</f>
        <v>석회화 결절</v>
      </c>
      <c r="D966" s="1" t="str">
        <f>"과거 염증 후에 남은 흔적으로 보입니다. 정기적으로 확인해보세요."</f>
        <v>과거 염증 후에 남은 흔적으로 보입니다. 정기적으로 확인해보세요.</v>
      </c>
      <c r="E966" s="1" t="str">
        <f t="shared" si="306"/>
        <v>WOK02</v>
      </c>
      <c r="F966" s="1" t="str">
        <f>"PTM01"</f>
        <v>PTM01</v>
      </c>
      <c r="G966" s="1" t="str">
        <f t="shared" ref="G966:G977" si="313">"DISJ"</f>
        <v>DISJ</v>
      </c>
      <c r="H966" s="1" t="str">
        <f t="shared" ref="H966:H978" si="314">"REL02"</f>
        <v>REL02</v>
      </c>
      <c r="I966" s="1" t="str">
        <f>""</f>
        <v/>
      </c>
      <c r="J966" s="1" t="str">
        <f t="shared" si="312"/>
        <v>C02C</v>
      </c>
      <c r="K966" s="1" t="str">
        <f t="shared" si="312"/>
        <v>C02C</v>
      </c>
      <c r="L966" s="1" t="str">
        <f t="shared" si="303"/>
        <v>R</v>
      </c>
      <c r="M966" s="1" t="str">
        <f t="shared" ref="M966:M977" si="315">"T04"</f>
        <v>T04</v>
      </c>
      <c r="N966" s="1" t="str">
        <f t="shared" si="299"/>
        <v>Y</v>
      </c>
      <c r="O966" s="1" t="str">
        <f t="shared" si="304"/>
        <v>Y</v>
      </c>
      <c r="P966" s="1" t="str">
        <f t="shared" si="291"/>
        <v>Y</v>
      </c>
      <c r="Q966" s="1" t="str">
        <f t="shared" si="311"/>
        <v>A</v>
      </c>
    </row>
    <row r="967" spans="1:17" x14ac:dyDescent="0.3">
      <c r="A967" s="1" t="str">
        <f t="shared" si="300"/>
        <v>C2</v>
      </c>
      <c r="B967" s="1" t="str">
        <f>"PUL217T"</f>
        <v>PUL217T</v>
      </c>
      <c r="C967" s="1" t="str">
        <f>"폐결절 의증"</f>
        <v>폐결절 의증</v>
      </c>
      <c r="D967" s="1" t="s">
        <v>134</v>
      </c>
      <c r="E967" s="1" t="str">
        <f t="shared" si="306"/>
        <v>WOK02</v>
      </c>
      <c r="F967" s="1" t="str">
        <f>"PTM00"</f>
        <v>PTM00</v>
      </c>
      <c r="G967" s="1" t="str">
        <f t="shared" si="313"/>
        <v>DISJ</v>
      </c>
      <c r="H967" s="1" t="str">
        <f t="shared" si="314"/>
        <v>REL02</v>
      </c>
      <c r="I967" s="1" t="str">
        <f>""</f>
        <v/>
      </c>
      <c r="J967" s="1" t="str">
        <f t="shared" si="312"/>
        <v>C02C</v>
      </c>
      <c r="K967" s="1" t="str">
        <f t="shared" si="312"/>
        <v>C02C</v>
      </c>
      <c r="L967" s="1" t="str">
        <f t="shared" si="303"/>
        <v>R</v>
      </c>
      <c r="M967" s="1" t="str">
        <f t="shared" si="315"/>
        <v>T04</v>
      </c>
      <c r="N967" s="1" t="str">
        <f t="shared" si="299"/>
        <v>Y</v>
      </c>
      <c r="O967" s="1" t="str">
        <f t="shared" si="304"/>
        <v>Y</v>
      </c>
      <c r="P967" s="1" t="str">
        <f t="shared" si="291"/>
        <v>Y</v>
      </c>
      <c r="Q967" s="1" t="str">
        <f t="shared" si="311"/>
        <v>A</v>
      </c>
    </row>
    <row r="968" spans="1:17" x14ac:dyDescent="0.3">
      <c r="A968" s="1" t="str">
        <f t="shared" si="300"/>
        <v>C2</v>
      </c>
      <c r="B968" s="1" t="str">
        <f>"PUL218T"</f>
        <v>PUL218T</v>
      </c>
      <c r="C968" s="1" t="str">
        <f>"폐-비특이적 섬유화"</f>
        <v>폐-비특이적 섬유화</v>
      </c>
      <c r="D968" s="1" t="str">
        <f>"과거의 염증 흔적으로 보입니다. 정기적으로 확인하시기 바랍니다."</f>
        <v>과거의 염증 흔적으로 보입니다. 정기적으로 확인하시기 바랍니다.</v>
      </c>
      <c r="E968" s="1" t="str">
        <f t="shared" si="306"/>
        <v>WOK02</v>
      </c>
      <c r="F968" s="1" t="str">
        <f>"PTM01"</f>
        <v>PTM01</v>
      </c>
      <c r="G968" s="1" t="str">
        <f t="shared" si="313"/>
        <v>DISJ</v>
      </c>
      <c r="H968" s="1" t="str">
        <f t="shared" si="314"/>
        <v>REL02</v>
      </c>
      <c r="I968" s="1" t="str">
        <f>""</f>
        <v/>
      </c>
      <c r="J968" s="1" t="str">
        <f t="shared" si="312"/>
        <v>C02C</v>
      </c>
      <c r="K968" s="1" t="str">
        <f t="shared" si="312"/>
        <v>C02C</v>
      </c>
      <c r="L968" s="1" t="str">
        <f t="shared" si="303"/>
        <v>R</v>
      </c>
      <c r="M968" s="1" t="str">
        <f t="shared" si="315"/>
        <v>T04</v>
      </c>
      <c r="N968" s="1" t="str">
        <f t="shared" si="299"/>
        <v>Y</v>
      </c>
      <c r="O968" s="1" t="str">
        <f t="shared" si="304"/>
        <v>Y</v>
      </c>
      <c r="P968" s="1" t="str">
        <f t="shared" si="291"/>
        <v>Y</v>
      </c>
      <c r="Q968" s="1" t="str">
        <f t="shared" si="311"/>
        <v>A</v>
      </c>
    </row>
    <row r="969" spans="1:17" x14ac:dyDescent="0.3">
      <c r="A969" s="1" t="str">
        <f t="shared" si="300"/>
        <v>C2</v>
      </c>
      <c r="B969" s="1" t="str">
        <f>"PUL302"</f>
        <v>PUL302</v>
      </c>
      <c r="C969" s="1" t="str">
        <f>"기관지염"</f>
        <v>기관지염</v>
      </c>
      <c r="D969" s="1" t="s">
        <v>324</v>
      </c>
      <c r="E969" s="1" t="str">
        <f t="shared" si="306"/>
        <v>WOK02</v>
      </c>
      <c r="F969" s="1" t="str">
        <f>"PTM03"</f>
        <v>PTM03</v>
      </c>
      <c r="G969" s="1" t="str">
        <f t="shared" si="313"/>
        <v>DISJ</v>
      </c>
      <c r="H969" s="1" t="str">
        <f t="shared" si="314"/>
        <v>REL02</v>
      </c>
      <c r="I969" s="1" t="str">
        <f>""</f>
        <v/>
      </c>
      <c r="J969" s="1" t="str">
        <f t="shared" si="312"/>
        <v>C02C</v>
      </c>
      <c r="K969" s="1" t="str">
        <f t="shared" si="312"/>
        <v>C02C</v>
      </c>
      <c r="L969" s="1" t="str">
        <f t="shared" si="303"/>
        <v>R</v>
      </c>
      <c r="M969" s="1" t="str">
        <f t="shared" si="315"/>
        <v>T04</v>
      </c>
      <c r="N969" s="1" t="str">
        <f t="shared" si="299"/>
        <v>Y</v>
      </c>
      <c r="O969" s="1" t="str">
        <f t="shared" si="304"/>
        <v>Y</v>
      </c>
      <c r="P969" s="1" t="str">
        <f t="shared" si="291"/>
        <v>Y</v>
      </c>
      <c r="Q969" s="1" t="str">
        <f t="shared" si="311"/>
        <v>A</v>
      </c>
    </row>
    <row r="970" spans="1:17" x14ac:dyDescent="0.3">
      <c r="A970" s="1" t="str">
        <f t="shared" si="300"/>
        <v>C2</v>
      </c>
      <c r="B970" s="1" t="str">
        <f>"PUL302H"</f>
        <v>PUL302H</v>
      </c>
      <c r="C970" s="1" t="str">
        <f>"기관지염"</f>
        <v>기관지염</v>
      </c>
      <c r="D970" s="1" t="s">
        <v>324</v>
      </c>
      <c r="E970" s="1" t="str">
        <f t="shared" si="306"/>
        <v>WOK02</v>
      </c>
      <c r="F970" s="1" t="str">
        <f>"PTM03"</f>
        <v>PTM03</v>
      </c>
      <c r="G970" s="1" t="str">
        <f t="shared" si="313"/>
        <v>DISJ</v>
      </c>
      <c r="H970" s="1" t="str">
        <f t="shared" si="314"/>
        <v>REL02</v>
      </c>
      <c r="I970" s="1" t="str">
        <f>""</f>
        <v/>
      </c>
      <c r="J970" s="1" t="str">
        <f t="shared" si="312"/>
        <v>C02C</v>
      </c>
      <c r="K970" s="1" t="str">
        <f t="shared" si="312"/>
        <v>C02C</v>
      </c>
      <c r="L970" s="1" t="str">
        <f t="shared" si="303"/>
        <v>R</v>
      </c>
      <c r="M970" s="1" t="str">
        <f t="shared" si="315"/>
        <v>T04</v>
      </c>
      <c r="N970" s="1" t="str">
        <f t="shared" si="299"/>
        <v>Y</v>
      </c>
      <c r="O970" s="1" t="str">
        <f t="shared" si="304"/>
        <v>Y</v>
      </c>
      <c r="P970" s="1" t="str">
        <f t="shared" ref="P970:P1033" si="316">"Y"</f>
        <v>Y</v>
      </c>
      <c r="Q970" s="1" t="str">
        <f t="shared" si="311"/>
        <v>A</v>
      </c>
    </row>
    <row r="971" spans="1:17" x14ac:dyDescent="0.3">
      <c r="A971" s="1" t="str">
        <f t="shared" si="300"/>
        <v>C2</v>
      </c>
      <c r="B971" s="1" t="str">
        <f>"PUL303"</f>
        <v>PUL303</v>
      </c>
      <c r="C971" s="1" t="str">
        <f>"기관지병변 의증(양좌우폐  상중하엽)"</f>
        <v>기관지병변 의증(양좌우폐  상중하엽)</v>
      </c>
      <c r="D971" s="1" t="str">
        <f>"분진 작업시 보호구 착용 철저히 하시고 기관지 이상 증상이 있을 경우 내과진료하십시오."</f>
        <v>분진 작업시 보호구 착용 철저히 하시고 기관지 이상 증상이 있을 경우 내과진료하십시오.</v>
      </c>
      <c r="E971" s="1" t="str">
        <f t="shared" si="306"/>
        <v>WOK02</v>
      </c>
      <c r="F971" s="1" t="str">
        <f>"PTM01"</f>
        <v>PTM01</v>
      </c>
      <c r="G971" s="1" t="str">
        <f t="shared" si="313"/>
        <v>DISJ</v>
      </c>
      <c r="H971" s="1" t="str">
        <f t="shared" si="314"/>
        <v>REL02</v>
      </c>
      <c r="I971" s="1" t="str">
        <f>""</f>
        <v/>
      </c>
      <c r="J971" s="1" t="str">
        <f>"C40C"</f>
        <v>C40C</v>
      </c>
      <c r="K971" s="1" t="str">
        <f>"C40C"</f>
        <v>C40C</v>
      </c>
      <c r="L971" s="1" t="str">
        <f t="shared" si="303"/>
        <v>R</v>
      </c>
      <c r="M971" s="1" t="str">
        <f t="shared" si="315"/>
        <v>T04</v>
      </c>
      <c r="N971" s="1" t="str">
        <f t="shared" si="299"/>
        <v>Y</v>
      </c>
      <c r="O971" s="1" t="str">
        <f t="shared" si="304"/>
        <v>Y</v>
      </c>
      <c r="P971" s="1" t="str">
        <f t="shared" si="316"/>
        <v>Y</v>
      </c>
      <c r="Q971" s="1" t="str">
        <f t="shared" si="311"/>
        <v>A</v>
      </c>
    </row>
    <row r="972" spans="1:17" x14ac:dyDescent="0.3">
      <c r="A972" s="1" t="str">
        <f t="shared" si="300"/>
        <v>C2</v>
      </c>
      <c r="B972" s="1" t="str">
        <f>"PUL306T"</f>
        <v>PUL306T</v>
      </c>
      <c r="C972" s="1" t="str">
        <f>"무기폐 의심"</f>
        <v>무기폐 의심</v>
      </c>
      <c r="D972" s="1" t="str">
        <f>"폐에 공기가 들어가지 않는 부분이 일부 보입니다. 정확한 진단과 치료를 위해 호흡기내과 진료를 받아보시기 바랍니다."</f>
        <v>폐에 공기가 들어가지 않는 부분이 일부 보입니다. 정확한 진단과 치료를 위해 호흡기내과 진료를 받아보시기 바랍니다.</v>
      </c>
      <c r="E972" s="1" t="str">
        <f t="shared" si="306"/>
        <v>WOK02</v>
      </c>
      <c r="F972" s="1" t="str">
        <f>"PTM01"</f>
        <v>PTM01</v>
      </c>
      <c r="G972" s="1" t="str">
        <f t="shared" si="313"/>
        <v>DISJ</v>
      </c>
      <c r="H972" s="1" t="str">
        <f t="shared" si="314"/>
        <v>REL02</v>
      </c>
      <c r="I972" s="1" t="str">
        <f>""</f>
        <v/>
      </c>
      <c r="J972" s="1" t="str">
        <f>"C02C"</f>
        <v>C02C</v>
      </c>
      <c r="K972" s="1" t="str">
        <f>"C02C"</f>
        <v>C02C</v>
      </c>
      <c r="L972" s="1" t="str">
        <f t="shared" si="303"/>
        <v>R</v>
      </c>
      <c r="M972" s="1" t="str">
        <f t="shared" si="315"/>
        <v>T04</v>
      </c>
      <c r="N972" s="1" t="str">
        <f t="shared" si="299"/>
        <v>Y</v>
      </c>
      <c r="O972" s="1" t="str">
        <f t="shared" si="304"/>
        <v>Y</v>
      </c>
      <c r="P972" s="1" t="str">
        <f t="shared" si="316"/>
        <v>Y</v>
      </c>
      <c r="Q972" s="1" t="str">
        <f t="shared" si="311"/>
        <v>A</v>
      </c>
    </row>
    <row r="973" spans="1:17" x14ac:dyDescent="0.3">
      <c r="A973" s="1" t="str">
        <f t="shared" si="300"/>
        <v>C2</v>
      </c>
      <c r="B973" s="1" t="str">
        <f>"PUL307T"</f>
        <v>PUL307T</v>
      </c>
      <c r="C973" s="1" t="str">
        <f>"소엽성 무기폐"</f>
        <v>소엽성 무기폐</v>
      </c>
      <c r="D973" s="1" t="str">
        <f>"호흡기 내과 진료 필요"</f>
        <v>호흡기 내과 진료 필요</v>
      </c>
      <c r="E973" s="1" t="str">
        <f t="shared" si="306"/>
        <v>WOK02</v>
      </c>
      <c r="F973" s="1" t="str">
        <f>"PTM01"</f>
        <v>PTM01</v>
      </c>
      <c r="G973" s="1" t="str">
        <f t="shared" si="313"/>
        <v>DISJ</v>
      </c>
      <c r="H973" s="1" t="str">
        <f t="shared" si="314"/>
        <v>REL02</v>
      </c>
      <c r="I973" s="1" t="str">
        <f>""</f>
        <v/>
      </c>
      <c r="J973" s="1" t="str">
        <f>"C02C"</f>
        <v>C02C</v>
      </c>
      <c r="K973" s="1" t="str">
        <f>"C02C"</f>
        <v>C02C</v>
      </c>
      <c r="L973" s="1" t="str">
        <f t="shared" ref="L973:L1004" si="317">"R"</f>
        <v>R</v>
      </c>
      <c r="M973" s="1" t="str">
        <f t="shared" si="315"/>
        <v>T04</v>
      </c>
      <c r="N973" s="1" t="str">
        <f t="shared" si="299"/>
        <v>Y</v>
      </c>
      <c r="O973" s="1" t="str">
        <f t="shared" si="304"/>
        <v>Y</v>
      </c>
      <c r="P973" s="1" t="str">
        <f t="shared" si="316"/>
        <v>Y</v>
      </c>
      <c r="Q973" s="1" t="str">
        <f t="shared" si="311"/>
        <v>A</v>
      </c>
    </row>
    <row r="974" spans="1:17" x14ac:dyDescent="0.3">
      <c r="A974" s="1" t="str">
        <f t="shared" si="300"/>
        <v>C2</v>
      </c>
      <c r="B974" s="1" t="str">
        <f>"PUL309"</f>
        <v>PUL309</v>
      </c>
      <c r="C974" s="1" t="str">
        <f>"간질성 폐질환의증"</f>
        <v>간질성 폐질환의증</v>
      </c>
      <c r="D974" s="1" t="str">
        <f>"진폐증 등 폐질환이 의심됩니다. 정확한 진단과 치료를 위해 내과진료가 필요합니다."</f>
        <v>진폐증 등 폐질환이 의심됩니다. 정확한 진단과 치료를 위해 내과진료가 필요합니다.</v>
      </c>
      <c r="E974" s="1" t="str">
        <f t="shared" si="306"/>
        <v>WOK02</v>
      </c>
      <c r="F974" s="1" t="str">
        <f>"PTM04"</f>
        <v>PTM04</v>
      </c>
      <c r="G974" s="1" t="str">
        <f t="shared" si="313"/>
        <v>DISJ</v>
      </c>
      <c r="H974" s="1" t="str">
        <f t="shared" si="314"/>
        <v>REL02</v>
      </c>
      <c r="I974" s="1" t="str">
        <f>""</f>
        <v/>
      </c>
      <c r="J974" s="1" t="str">
        <f>"C02D"</f>
        <v>C02D</v>
      </c>
      <c r="K974" s="1" t="str">
        <f>"C02D"</f>
        <v>C02D</v>
      </c>
      <c r="L974" s="1" t="str">
        <f t="shared" si="317"/>
        <v>R</v>
      </c>
      <c r="M974" s="1" t="str">
        <f t="shared" si="315"/>
        <v>T04</v>
      </c>
      <c r="N974" s="1" t="str">
        <f t="shared" si="299"/>
        <v>Y</v>
      </c>
      <c r="O974" s="1" t="str">
        <f t="shared" si="304"/>
        <v>Y</v>
      </c>
      <c r="P974" s="1" t="str">
        <f t="shared" si="316"/>
        <v>Y</v>
      </c>
      <c r="Q974" s="1" t="str">
        <f t="shared" si="311"/>
        <v>A</v>
      </c>
    </row>
    <row r="975" spans="1:17" x14ac:dyDescent="0.3">
      <c r="A975" s="1" t="str">
        <f t="shared" si="300"/>
        <v>C2</v>
      </c>
      <c r="B975" s="1" t="str">
        <f>"PUL310"</f>
        <v>PUL310</v>
      </c>
      <c r="C975" s="1" t="str">
        <f>"폐내결절음영"</f>
        <v>폐내결절음영</v>
      </c>
      <c r="D975" s="1" t="str">
        <f>"과거사진과 대조하거나 3개월후 추적검사 권합니다."</f>
        <v>과거사진과 대조하거나 3개월후 추적검사 권합니다.</v>
      </c>
      <c r="E975" s="1" t="str">
        <f>"WOK01"</f>
        <v>WOK01</v>
      </c>
      <c r="F975" s="1" t="str">
        <f>"PTM00"</f>
        <v>PTM00</v>
      </c>
      <c r="G975" s="1" t="str">
        <f t="shared" si="313"/>
        <v>DISJ</v>
      </c>
      <c r="H975" s="1" t="str">
        <f t="shared" si="314"/>
        <v>REL02</v>
      </c>
      <c r="I975" s="1" t="str">
        <f>""</f>
        <v/>
      </c>
      <c r="J975" s="1" t="str">
        <f>"C02C"</f>
        <v>C02C</v>
      </c>
      <c r="K975" s="1" t="str">
        <f>"C02C"</f>
        <v>C02C</v>
      </c>
      <c r="L975" s="1" t="str">
        <f t="shared" si="317"/>
        <v>R</v>
      </c>
      <c r="M975" s="1" t="str">
        <f t="shared" si="315"/>
        <v>T04</v>
      </c>
      <c r="N975" s="1" t="str">
        <f t="shared" si="299"/>
        <v>Y</v>
      </c>
      <c r="O975" s="1" t="str">
        <f t="shared" si="304"/>
        <v>Y</v>
      </c>
      <c r="P975" s="1" t="str">
        <f t="shared" si="316"/>
        <v>Y</v>
      </c>
      <c r="Q975" s="1" t="str">
        <f t="shared" si="311"/>
        <v>A</v>
      </c>
    </row>
    <row r="976" spans="1:17" x14ac:dyDescent="0.3">
      <c r="A976" s="1" t="str">
        <f t="shared" si="300"/>
        <v>C2</v>
      </c>
      <c r="B976" s="1" t="str">
        <f>"PUL314T"</f>
        <v>PUL314T</v>
      </c>
      <c r="C976" s="1" t="str">
        <f>"폐기포(수포)"</f>
        <v>폐기포(수포)</v>
      </c>
      <c r="D976" s="1" t="str">
        <f>"호흡곤란 등의 증상이 있으면 호흡기 내과 진료를 받으시기 바랍니다."</f>
        <v>호흡곤란 등의 증상이 있으면 호흡기 내과 진료를 받으시기 바랍니다.</v>
      </c>
      <c r="E976" s="1" t="str">
        <f>"WOK02"</f>
        <v>WOK02</v>
      </c>
      <c r="F976" s="1" t="str">
        <f>"PTM03"</f>
        <v>PTM03</v>
      </c>
      <c r="G976" s="1" t="str">
        <f t="shared" si="313"/>
        <v>DISJ</v>
      </c>
      <c r="H976" s="1" t="str">
        <f t="shared" si="314"/>
        <v>REL02</v>
      </c>
      <c r="I976" s="1" t="str">
        <f>""</f>
        <v/>
      </c>
      <c r="J976" s="1" t="str">
        <f>"C40C"</f>
        <v>C40C</v>
      </c>
      <c r="K976" s="1" t="str">
        <f>"C40C"</f>
        <v>C40C</v>
      </c>
      <c r="L976" s="1" t="str">
        <f t="shared" si="317"/>
        <v>R</v>
      </c>
      <c r="M976" s="1" t="str">
        <f t="shared" si="315"/>
        <v>T04</v>
      </c>
      <c r="N976" s="1" t="str">
        <f t="shared" si="299"/>
        <v>Y</v>
      </c>
      <c r="O976" s="1" t="str">
        <f t="shared" si="304"/>
        <v>Y</v>
      </c>
      <c r="P976" s="1" t="str">
        <f t="shared" si="316"/>
        <v>Y</v>
      </c>
      <c r="Q976" s="1" t="str">
        <f t="shared" si="311"/>
        <v>A</v>
      </c>
    </row>
    <row r="977" spans="1:17" x14ac:dyDescent="0.3">
      <c r="A977" s="1" t="str">
        <f t="shared" si="300"/>
        <v>C2</v>
      </c>
      <c r="B977" s="1" t="str">
        <f>"PUL318"</f>
        <v>PUL318</v>
      </c>
      <c r="C977" s="1" t="str">
        <f>"횡격막 거상"</f>
        <v>횡격막 거상</v>
      </c>
      <c r="D977" s="1" t="str">
        <f>"대부분 큰 문제는 없으나 확인을 위해 폐나 기타 질환에 대한 내과 진료를 받으세요."</f>
        <v>대부분 큰 문제는 없으나 확인을 위해 폐나 기타 질환에 대한 내과 진료를 받으세요.</v>
      </c>
      <c r="E977" s="1" t="str">
        <f>"WOK01"</f>
        <v>WOK01</v>
      </c>
      <c r="F977" s="1" t="str">
        <f>"PTM01"</f>
        <v>PTM01</v>
      </c>
      <c r="G977" s="1" t="str">
        <f t="shared" si="313"/>
        <v>DISJ</v>
      </c>
      <c r="H977" s="1" t="str">
        <f t="shared" si="314"/>
        <v>REL02</v>
      </c>
      <c r="I977" s="1" t="str">
        <f>""</f>
        <v/>
      </c>
      <c r="J977" s="1" t="str">
        <f>"C02C"</f>
        <v>C02C</v>
      </c>
      <c r="K977" s="1" t="str">
        <f>"C02C"</f>
        <v>C02C</v>
      </c>
      <c r="L977" s="1" t="str">
        <f t="shared" si="317"/>
        <v>R</v>
      </c>
      <c r="M977" s="1" t="str">
        <f t="shared" si="315"/>
        <v>T04</v>
      </c>
      <c r="N977" s="1" t="str">
        <f t="shared" si="299"/>
        <v>Y</v>
      </c>
      <c r="O977" s="1" t="str">
        <f t="shared" si="304"/>
        <v>Y</v>
      </c>
      <c r="P977" s="1" t="str">
        <f t="shared" si="316"/>
        <v>Y</v>
      </c>
      <c r="Q977" s="1" t="str">
        <f t="shared" si="311"/>
        <v>A</v>
      </c>
    </row>
    <row r="978" spans="1:17" x14ac:dyDescent="0.3">
      <c r="A978" s="1" t="str">
        <f t="shared" si="300"/>
        <v>C2</v>
      </c>
      <c r="B978" s="1" t="str">
        <f>"PUL322"</f>
        <v>PUL322</v>
      </c>
      <c r="C978" s="1" t="str">
        <f>"고혈압성 심질환"</f>
        <v>고혈압성 심질환</v>
      </c>
      <c r="D978" s="1" t="str">
        <f>"저염식 및 가벼운 운동을 하시고 주기적인 혈압측정이 필요합니다."</f>
        <v>저염식 및 가벼운 운동을 하시고 주기적인 혈압측정이 필요합니다.</v>
      </c>
      <c r="E978" s="1" t="str">
        <f>"WOK02"</f>
        <v>WOK02</v>
      </c>
      <c r="F978" s="1" t="str">
        <f>"PTM03"</f>
        <v>PTM03</v>
      </c>
      <c r="G978" s="1" t="str">
        <f>"DISI"</f>
        <v>DISI</v>
      </c>
      <c r="H978" s="1" t="str">
        <f t="shared" si="314"/>
        <v>REL02</v>
      </c>
      <c r="I978" s="1" t="str">
        <f>""</f>
        <v/>
      </c>
      <c r="J978" s="1" t="str">
        <f>"C03C"</f>
        <v>C03C</v>
      </c>
      <c r="K978" s="1" t="str">
        <f>"C03C"</f>
        <v>C03C</v>
      </c>
      <c r="L978" s="1" t="str">
        <f t="shared" si="317"/>
        <v>R</v>
      </c>
      <c r="M978" s="1" t="str">
        <f>"T03"</f>
        <v>T03</v>
      </c>
      <c r="N978" s="1" t="str">
        <f t="shared" si="299"/>
        <v>Y</v>
      </c>
      <c r="O978" s="1" t="str">
        <f t="shared" si="304"/>
        <v>Y</v>
      </c>
      <c r="P978" s="1" t="str">
        <f t="shared" si="316"/>
        <v>Y</v>
      </c>
      <c r="Q978" s="1" t="str">
        <f t="shared" si="311"/>
        <v>A</v>
      </c>
    </row>
    <row r="979" spans="1:17" x14ac:dyDescent="0.3">
      <c r="A979" s="1" t="str">
        <f t="shared" si="300"/>
        <v>C2</v>
      </c>
      <c r="B979" s="1" t="str">
        <f>"PUL323"</f>
        <v>PUL323</v>
      </c>
      <c r="C979" s="1" t="str">
        <f>"대동맥궁에 죽상동맥경화반"</f>
        <v>대동맥궁에 죽상동맥경화반</v>
      </c>
      <c r="D979" s="1" t="s">
        <v>325</v>
      </c>
      <c r="E979" s="1" t="str">
        <f>"WOK02"</f>
        <v>WOK02</v>
      </c>
      <c r="F979" s="1" t="str">
        <f>"PTM03"</f>
        <v>PTM03</v>
      </c>
      <c r="G979" s="1" t="str">
        <f>"DISI"</f>
        <v>DISI</v>
      </c>
      <c r="H979" s="1" t="str">
        <f>"REL06"</f>
        <v>REL06</v>
      </c>
      <c r="I979" s="1" t="str">
        <f>""</f>
        <v/>
      </c>
      <c r="J979" s="1" t="str">
        <f t="shared" ref="J979:K981" si="318">"C39C"</f>
        <v>C39C</v>
      </c>
      <c r="K979" s="1" t="str">
        <f t="shared" si="318"/>
        <v>C39C</v>
      </c>
      <c r="L979" s="1" t="str">
        <f t="shared" si="317"/>
        <v>R</v>
      </c>
      <c r="M979" s="1" t="str">
        <f>"T03"</f>
        <v>T03</v>
      </c>
      <c r="N979" s="1" t="str">
        <f t="shared" si="299"/>
        <v>Y</v>
      </c>
      <c r="O979" s="1" t="str">
        <f t="shared" si="304"/>
        <v>Y</v>
      </c>
      <c r="P979" s="1" t="str">
        <f t="shared" si="316"/>
        <v>Y</v>
      </c>
      <c r="Q979" s="1" t="str">
        <f t="shared" si="311"/>
        <v>A</v>
      </c>
    </row>
    <row r="980" spans="1:17" x14ac:dyDescent="0.3">
      <c r="A980" s="1" t="str">
        <f t="shared" si="300"/>
        <v>C2</v>
      </c>
      <c r="B980" s="1" t="str">
        <f>"PUL325"</f>
        <v>PUL325</v>
      </c>
      <c r="C980" s="1" t="str">
        <f>"대동맥궁 및 폐동맥 기형"</f>
        <v>대동맥궁 및 폐동맥 기형</v>
      </c>
      <c r="D980" s="1" t="str">
        <f>"대동맥궁 및 폐동맥 기형 소견을 보입니다. 순환기내과 진료를 받으세요."</f>
        <v>대동맥궁 및 폐동맥 기형 소견을 보입니다. 순환기내과 진료를 받으세요.</v>
      </c>
      <c r="E980" s="1" t="str">
        <f>"WOK02"</f>
        <v>WOK02</v>
      </c>
      <c r="F980" s="1" t="str">
        <f>"PTM01"</f>
        <v>PTM01</v>
      </c>
      <c r="G980" s="1" t="str">
        <f>"DISI"</f>
        <v>DISI</v>
      </c>
      <c r="H980" s="1" t="str">
        <f>"REL06"</f>
        <v>REL06</v>
      </c>
      <c r="I980" s="1" t="str">
        <f>""</f>
        <v/>
      </c>
      <c r="J980" s="1" t="str">
        <f t="shared" si="318"/>
        <v>C39C</v>
      </c>
      <c r="K980" s="1" t="str">
        <f t="shared" si="318"/>
        <v>C39C</v>
      </c>
      <c r="L980" s="1" t="str">
        <f t="shared" si="317"/>
        <v>R</v>
      </c>
      <c r="M980" s="1" t="str">
        <f>"T03"</f>
        <v>T03</v>
      </c>
      <c r="N980" s="1" t="str">
        <f t="shared" si="299"/>
        <v>Y</v>
      </c>
      <c r="O980" s="1" t="str">
        <f>"N"</f>
        <v>N</v>
      </c>
      <c r="P980" s="1" t="str">
        <f t="shared" si="316"/>
        <v>Y</v>
      </c>
      <c r="Q980" s="1" t="str">
        <f t="shared" si="311"/>
        <v>A</v>
      </c>
    </row>
    <row r="981" spans="1:17" x14ac:dyDescent="0.3">
      <c r="A981" s="1" t="str">
        <f t="shared" si="300"/>
        <v>C2</v>
      </c>
      <c r="B981" s="1" t="str">
        <f>"PUL326"</f>
        <v>PUL326</v>
      </c>
      <c r="C981" s="1" t="str">
        <f>"인공심장기 착용상태"</f>
        <v>인공심장기 착용상태</v>
      </c>
      <c r="D981" s="1" t="str">
        <f>"주기적인 관리 관찰을 요합니다."</f>
        <v>주기적인 관리 관찰을 요합니다.</v>
      </c>
      <c r="E981" s="1" t="str">
        <f>"WOK02"</f>
        <v>WOK02</v>
      </c>
      <c r="F981" s="1" t="str">
        <f>"PTM03"</f>
        <v>PTM03</v>
      </c>
      <c r="G981" s="1" t="str">
        <f>"DISI"</f>
        <v>DISI</v>
      </c>
      <c r="H981" s="1" t="str">
        <f>"REL02"</f>
        <v>REL02</v>
      </c>
      <c r="I981" s="1" t="str">
        <f>""</f>
        <v/>
      </c>
      <c r="J981" s="1" t="str">
        <f t="shared" si="318"/>
        <v>C39C</v>
      </c>
      <c r="K981" s="1" t="str">
        <f t="shared" si="318"/>
        <v>C39C</v>
      </c>
      <c r="L981" s="1" t="str">
        <f t="shared" si="317"/>
        <v>R</v>
      </c>
      <c r="M981" s="1" t="str">
        <f>"T03"</f>
        <v>T03</v>
      </c>
      <c r="N981" s="1" t="str">
        <f t="shared" si="299"/>
        <v>Y</v>
      </c>
      <c r="O981" s="1" t="str">
        <f t="shared" ref="O981:O1012" si="319">"Y"</f>
        <v>Y</v>
      </c>
      <c r="P981" s="1" t="str">
        <f t="shared" si="316"/>
        <v>Y</v>
      </c>
      <c r="Q981" s="1" t="str">
        <f t="shared" si="311"/>
        <v>A</v>
      </c>
    </row>
    <row r="982" spans="1:17" x14ac:dyDescent="0.3">
      <c r="A982" s="1" t="str">
        <f t="shared" si="300"/>
        <v>C2</v>
      </c>
      <c r="B982" s="1" t="str">
        <f>"PUL330"</f>
        <v>PUL330</v>
      </c>
      <c r="C982" s="1" t="str">
        <f>"척추측만증 (흉추부)"</f>
        <v>척추측만증 (흉추부)</v>
      </c>
      <c r="D982" s="1" t="str">
        <f>"바른 자세 유지 및 스트레칭을 권고합니다."</f>
        <v>바른 자세 유지 및 스트레칭을 권고합니다.</v>
      </c>
      <c r="E982" s="1" t="str">
        <f>"WOK01"</f>
        <v>WOK01</v>
      </c>
      <c r="F982" s="1" t="str">
        <f>"PTM01"</f>
        <v>PTM01</v>
      </c>
      <c r="G982" s="1" t="str">
        <f>"DISM"</f>
        <v>DISM</v>
      </c>
      <c r="H982" s="1" t="str">
        <f>"REL22"</f>
        <v>REL22</v>
      </c>
      <c r="I982" s="1" t="str">
        <f>""</f>
        <v/>
      </c>
      <c r="J982" s="1" t="str">
        <f t="shared" ref="J982:K985" si="320">"C43C"</f>
        <v>C43C</v>
      </c>
      <c r="K982" s="1" t="str">
        <f t="shared" si="320"/>
        <v>C43C</v>
      </c>
      <c r="L982" s="1" t="str">
        <f t="shared" si="317"/>
        <v>R</v>
      </c>
      <c r="M982" s="1" t="str">
        <f>"T06"</f>
        <v>T06</v>
      </c>
      <c r="N982" s="1" t="str">
        <f t="shared" si="299"/>
        <v>Y</v>
      </c>
      <c r="O982" s="1" t="str">
        <f t="shared" si="319"/>
        <v>Y</v>
      </c>
      <c r="P982" s="1" t="str">
        <f t="shared" si="316"/>
        <v>Y</v>
      </c>
      <c r="Q982" s="1" t="str">
        <f t="shared" si="311"/>
        <v>A</v>
      </c>
    </row>
    <row r="983" spans="1:17" x14ac:dyDescent="0.3">
      <c r="A983" s="1" t="str">
        <f t="shared" si="300"/>
        <v>C2</v>
      </c>
      <c r="B983" s="1" t="str">
        <f>"PUL330G"</f>
        <v>PUL330G</v>
      </c>
      <c r="C983" s="1" t="str">
        <f>"척추측만증 (흉추부)"</f>
        <v>척추측만증 (흉추부)</v>
      </c>
      <c r="D983" s="1" t="s">
        <v>326</v>
      </c>
      <c r="E983" s="1" t="str">
        <f>"WOK01"</f>
        <v>WOK01</v>
      </c>
      <c r="F983" s="1" t="str">
        <f>"PTM01"</f>
        <v>PTM01</v>
      </c>
      <c r="G983" s="1" t="str">
        <f>"DISM"</f>
        <v>DISM</v>
      </c>
      <c r="H983" s="1" t="str">
        <f>"REL22"</f>
        <v>REL22</v>
      </c>
      <c r="I983" s="1" t="str">
        <f>""</f>
        <v/>
      </c>
      <c r="J983" s="1" t="str">
        <f t="shared" si="320"/>
        <v>C43C</v>
      </c>
      <c r="K983" s="1" t="str">
        <f t="shared" si="320"/>
        <v>C43C</v>
      </c>
      <c r="L983" s="1" t="str">
        <f t="shared" si="317"/>
        <v>R</v>
      </c>
      <c r="M983" s="1" t="str">
        <f>""</f>
        <v/>
      </c>
      <c r="N983" s="1" t="str">
        <f t="shared" si="299"/>
        <v>Y</v>
      </c>
      <c r="O983" s="1" t="str">
        <f t="shared" si="319"/>
        <v>Y</v>
      </c>
      <c r="P983" s="1" t="str">
        <f t="shared" si="316"/>
        <v>Y</v>
      </c>
      <c r="Q983" s="1" t="str">
        <f t="shared" si="311"/>
        <v>A</v>
      </c>
    </row>
    <row r="984" spans="1:17" x14ac:dyDescent="0.3">
      <c r="A984" s="1" t="str">
        <f t="shared" si="300"/>
        <v>C2</v>
      </c>
      <c r="B984" s="1" t="str">
        <f>"PUL330H"</f>
        <v>PUL330H</v>
      </c>
      <c r="C984" s="1" t="str">
        <f>"척추측만증 (흉추부)"</f>
        <v>척추측만증 (흉추부)</v>
      </c>
      <c r="D984" s="1" t="str">
        <f>"바른 자세 유지 및 스트레칭을 권고합니다."</f>
        <v>바른 자세 유지 및 스트레칭을 권고합니다.</v>
      </c>
      <c r="E984" s="1" t="str">
        <f>"WOK01"</f>
        <v>WOK01</v>
      </c>
      <c r="F984" s="1" t="str">
        <f>"PTM01"</f>
        <v>PTM01</v>
      </c>
      <c r="G984" s="1" t="str">
        <f>"DISM"</f>
        <v>DISM</v>
      </c>
      <c r="H984" s="1" t="str">
        <f>"REL22"</f>
        <v>REL22</v>
      </c>
      <c r="I984" s="1" t="str">
        <f>""</f>
        <v/>
      </c>
      <c r="J984" s="1" t="str">
        <f t="shared" si="320"/>
        <v>C43C</v>
      </c>
      <c r="K984" s="1" t="str">
        <f t="shared" si="320"/>
        <v>C43C</v>
      </c>
      <c r="L984" s="1" t="str">
        <f t="shared" si="317"/>
        <v>R</v>
      </c>
      <c r="M984" s="1" t="str">
        <f>"T06"</f>
        <v>T06</v>
      </c>
      <c r="N984" s="1" t="str">
        <f t="shared" si="299"/>
        <v>Y</v>
      </c>
      <c r="O984" s="1" t="str">
        <f t="shared" si="319"/>
        <v>Y</v>
      </c>
      <c r="P984" s="1" t="str">
        <f t="shared" si="316"/>
        <v>Y</v>
      </c>
      <c r="Q984" s="1" t="str">
        <f t="shared" si="311"/>
        <v>A</v>
      </c>
    </row>
    <row r="985" spans="1:17" x14ac:dyDescent="0.3">
      <c r="A985" s="1" t="str">
        <f t="shared" si="300"/>
        <v>C2</v>
      </c>
      <c r="B985" s="1" t="str">
        <f>"PUL331"</f>
        <v>PUL331</v>
      </c>
      <c r="C985" s="1" t="str">
        <f>"척추후만증"</f>
        <v>척추후만증</v>
      </c>
      <c r="D985" s="1" t="str">
        <f>"통증 있을 경우 정형외과진료가 필요합니다."</f>
        <v>통증 있을 경우 정형외과진료가 필요합니다.</v>
      </c>
      <c r="E985" s="1" t="str">
        <f t="shared" ref="E985:E995" si="321">"WOK02"</f>
        <v>WOK02</v>
      </c>
      <c r="F985" s="1" t="str">
        <f>"PTM03"</f>
        <v>PTM03</v>
      </c>
      <c r="G985" s="1" t="str">
        <f>"DISM"</f>
        <v>DISM</v>
      </c>
      <c r="H985" s="1" t="str">
        <f>"REL02"</f>
        <v>REL02</v>
      </c>
      <c r="I985" s="1" t="str">
        <f>""</f>
        <v/>
      </c>
      <c r="J985" s="1" t="str">
        <f t="shared" si="320"/>
        <v>C43C</v>
      </c>
      <c r="K985" s="1" t="str">
        <f t="shared" si="320"/>
        <v>C43C</v>
      </c>
      <c r="L985" s="1" t="str">
        <f t="shared" si="317"/>
        <v>R</v>
      </c>
      <c r="M985" s="1" t="str">
        <f>""</f>
        <v/>
      </c>
      <c r="N985" s="1" t="str">
        <f t="shared" si="299"/>
        <v>Y</v>
      </c>
      <c r="O985" s="1" t="str">
        <f t="shared" si="319"/>
        <v>Y</v>
      </c>
      <c r="P985" s="1" t="str">
        <f t="shared" si="316"/>
        <v>Y</v>
      </c>
      <c r="Q985" s="1" t="str">
        <f t="shared" si="311"/>
        <v>A</v>
      </c>
    </row>
    <row r="986" spans="1:17" x14ac:dyDescent="0.3">
      <c r="A986" s="1" t="str">
        <f t="shared" si="300"/>
        <v>C2</v>
      </c>
      <c r="B986" s="1" t="str">
        <f>"PUL403"</f>
        <v>PUL403</v>
      </c>
      <c r="C986" s="1" t="str">
        <f>"기관지 확장증 의심"</f>
        <v>기관지 확장증 의심</v>
      </c>
      <c r="D986" s="1" t="s">
        <v>327</v>
      </c>
      <c r="E986" s="1" t="str">
        <f t="shared" si="321"/>
        <v>WOK02</v>
      </c>
      <c r="F986" s="1" t="str">
        <f>"PTM01"</f>
        <v>PTM01</v>
      </c>
      <c r="G986" s="1" t="str">
        <f>"DISJ"</f>
        <v>DISJ</v>
      </c>
      <c r="H986" s="1" t="str">
        <f>"REL02"</f>
        <v>REL02</v>
      </c>
      <c r="I986" s="1" t="str">
        <f>""</f>
        <v/>
      </c>
      <c r="J986" s="1" t="str">
        <f>"C02D"</f>
        <v>C02D</v>
      </c>
      <c r="K986" s="1" t="str">
        <f>"C02D"</f>
        <v>C02D</v>
      </c>
      <c r="L986" s="1" t="str">
        <f t="shared" si="317"/>
        <v>R</v>
      </c>
      <c r="M986" s="1" t="str">
        <f>"T04"</f>
        <v>T04</v>
      </c>
      <c r="N986" s="1" t="str">
        <f t="shared" si="299"/>
        <v>Y</v>
      </c>
      <c r="O986" s="1" t="str">
        <f t="shared" si="319"/>
        <v>Y</v>
      </c>
      <c r="P986" s="1" t="str">
        <f t="shared" si="316"/>
        <v>Y</v>
      </c>
      <c r="Q986" s="1" t="str">
        <f t="shared" si="311"/>
        <v>A</v>
      </c>
    </row>
    <row r="987" spans="1:17" x14ac:dyDescent="0.3">
      <c r="A987" s="1" t="str">
        <f t="shared" si="300"/>
        <v>C2</v>
      </c>
      <c r="B987" s="1" t="str">
        <f>"PUL421"</f>
        <v>PUL421</v>
      </c>
      <c r="C987" s="1" t="str">
        <f>"흉막 유착"</f>
        <v>흉막 유착</v>
      </c>
      <c r="D987" s="1" t="s">
        <v>133</v>
      </c>
      <c r="E987" s="1" t="str">
        <f t="shared" si="321"/>
        <v>WOK02</v>
      </c>
      <c r="F987" s="1" t="str">
        <f>"PTM01"</f>
        <v>PTM01</v>
      </c>
      <c r="G987" s="1" t="str">
        <f>"DISJ"</f>
        <v>DISJ</v>
      </c>
      <c r="H987" s="1" t="str">
        <f>"REL02"</f>
        <v>REL02</v>
      </c>
      <c r="I987" s="1" t="str">
        <f>""</f>
        <v/>
      </c>
      <c r="J987" s="1" t="str">
        <f>"C02C"</f>
        <v>C02C</v>
      </c>
      <c r="K987" s="1" t="str">
        <f>"C02C"</f>
        <v>C02C</v>
      </c>
      <c r="L987" s="1" t="str">
        <f t="shared" si="317"/>
        <v>R</v>
      </c>
      <c r="M987" s="1" t="str">
        <f>"T04"</f>
        <v>T04</v>
      </c>
      <c r="N987" s="1" t="str">
        <f t="shared" si="299"/>
        <v>Y</v>
      </c>
      <c r="O987" s="1" t="str">
        <f t="shared" si="319"/>
        <v>Y</v>
      </c>
      <c r="P987" s="1" t="str">
        <f t="shared" si="316"/>
        <v>Y</v>
      </c>
      <c r="Q987" s="1" t="str">
        <f t="shared" si="311"/>
        <v>A</v>
      </c>
    </row>
    <row r="988" spans="1:17" x14ac:dyDescent="0.3">
      <c r="A988" s="1" t="str">
        <f t="shared" si="300"/>
        <v>C2</v>
      </c>
      <c r="B988" s="1" t="str">
        <f>"STU200"</f>
        <v>STU200</v>
      </c>
      <c r="C988" s="1" t="str">
        <f>"경미한 간효소수치 상승"</f>
        <v>경미한 간효소수치 상승</v>
      </c>
      <c r="D988" s="1" t="s">
        <v>328</v>
      </c>
      <c r="E988" s="1" t="str">
        <f t="shared" si="321"/>
        <v>WOK02</v>
      </c>
      <c r="F988" s="1" t="str">
        <f>"PTM01"</f>
        <v>PTM01</v>
      </c>
      <c r="G988" s="1" t="str">
        <f>"DISK"</f>
        <v>DISK</v>
      </c>
      <c r="H988" s="1" t="str">
        <f>"REL05"</f>
        <v>REL05</v>
      </c>
      <c r="I988" s="1" t="str">
        <f>""</f>
        <v/>
      </c>
      <c r="J988" s="1" t="str">
        <f>"C05C"</f>
        <v>C05C</v>
      </c>
      <c r="K988" s="1" t="str">
        <f>"C05C"</f>
        <v>C05C</v>
      </c>
      <c r="L988" s="1" t="str">
        <f t="shared" si="317"/>
        <v>R</v>
      </c>
      <c r="M988" s="1" t="str">
        <f>"T02"</f>
        <v>T02</v>
      </c>
      <c r="N988" s="1" t="str">
        <f t="shared" ref="N988:N1025" si="322">"Y"</f>
        <v>Y</v>
      </c>
      <c r="O988" s="1" t="str">
        <f t="shared" si="319"/>
        <v>Y</v>
      </c>
      <c r="P988" s="1" t="str">
        <f t="shared" si="316"/>
        <v>Y</v>
      </c>
      <c r="Q988" s="1" t="str">
        <f t="shared" si="311"/>
        <v>A</v>
      </c>
    </row>
    <row r="989" spans="1:17" x14ac:dyDescent="0.3">
      <c r="A989" s="1" t="str">
        <f t="shared" si="300"/>
        <v>C2</v>
      </c>
      <c r="B989" s="1" t="str">
        <f>"STU209"</f>
        <v>STU209</v>
      </c>
      <c r="C989" s="1" t="str">
        <f>"경미한 교정시력 저하"</f>
        <v>경미한 교정시력 저하</v>
      </c>
      <c r="D989" s="1" t="str">
        <f>"경미한 교정시력 저하가 있습니다. 적절한 안경교정이 필요합니다."</f>
        <v>경미한 교정시력 저하가 있습니다. 적절한 안경교정이 필요합니다.</v>
      </c>
      <c r="E989" s="1" t="str">
        <f t="shared" si="321"/>
        <v>WOK02</v>
      </c>
      <c r="F989" s="1" t="str">
        <f>""</f>
        <v/>
      </c>
      <c r="G989" s="1" t="str">
        <f>"DISH"</f>
        <v>DISH</v>
      </c>
      <c r="H989" s="1" t="str">
        <f>"REL31"</f>
        <v>REL31</v>
      </c>
      <c r="I989" s="1" t="str">
        <f>""</f>
        <v/>
      </c>
      <c r="J989" s="1" t="str">
        <f>"C38C"</f>
        <v>C38C</v>
      </c>
      <c r="K989" s="1" t="str">
        <f>"C38C"</f>
        <v>C38C</v>
      </c>
      <c r="L989" s="1" t="str">
        <f t="shared" si="317"/>
        <v>R</v>
      </c>
      <c r="M989" s="1" t="str">
        <f>"T09"</f>
        <v>T09</v>
      </c>
      <c r="N989" s="1" t="str">
        <f t="shared" si="322"/>
        <v>Y</v>
      </c>
      <c r="O989" s="1" t="str">
        <f t="shared" si="319"/>
        <v>Y</v>
      </c>
      <c r="P989" s="1" t="str">
        <f t="shared" si="316"/>
        <v>Y</v>
      </c>
      <c r="Q989" s="1" t="str">
        <f t="shared" si="311"/>
        <v>A</v>
      </c>
    </row>
    <row r="990" spans="1:17" x14ac:dyDescent="0.3">
      <c r="A990" s="1" t="str">
        <f t="shared" si="300"/>
        <v>C2</v>
      </c>
      <c r="B990" s="1" t="str">
        <f>"STU300"</f>
        <v>STU300</v>
      </c>
      <c r="C990" s="1" t="str">
        <f>"간효소 수치 상승"</f>
        <v>간효소 수치 상승</v>
      </c>
      <c r="D990" s="1" t="s">
        <v>329</v>
      </c>
      <c r="E990" s="1" t="str">
        <f t="shared" si="321"/>
        <v>WOK02</v>
      </c>
      <c r="F990" s="1" t="str">
        <f>"PTM01"</f>
        <v>PTM01</v>
      </c>
      <c r="G990" s="1" t="str">
        <f>"DISK"</f>
        <v>DISK</v>
      </c>
      <c r="H990" s="1" t="str">
        <f>"REL05"</f>
        <v>REL05</v>
      </c>
      <c r="I990" s="1" t="str">
        <f>""</f>
        <v/>
      </c>
      <c r="J990" s="1" t="str">
        <f>"C05C"</f>
        <v>C05C</v>
      </c>
      <c r="K990" s="1" t="str">
        <f>"C05C"</f>
        <v>C05C</v>
      </c>
      <c r="L990" s="1" t="str">
        <f t="shared" si="317"/>
        <v>R</v>
      </c>
      <c r="M990" s="1" t="str">
        <f>"T02"</f>
        <v>T02</v>
      </c>
      <c r="N990" s="1" t="str">
        <f t="shared" si="322"/>
        <v>Y</v>
      </c>
      <c r="O990" s="1" t="str">
        <f t="shared" si="319"/>
        <v>Y</v>
      </c>
      <c r="P990" s="1" t="str">
        <f t="shared" si="316"/>
        <v>Y</v>
      </c>
      <c r="Q990" s="1" t="str">
        <f t="shared" si="311"/>
        <v>A</v>
      </c>
    </row>
    <row r="991" spans="1:17" x14ac:dyDescent="0.3">
      <c r="A991" s="1" t="str">
        <f t="shared" si="300"/>
        <v>C2</v>
      </c>
      <c r="B991" s="1" t="str">
        <f>"STU307"</f>
        <v>STU307</v>
      </c>
      <c r="C991" s="1" t="str">
        <f>"좌측 시력저하"</f>
        <v>좌측 시력저하</v>
      </c>
      <c r="D991" s="1" t="str">
        <f>"좌측 시력 저하입니다. 안경점 방문하여 시력교정 필요합니다."</f>
        <v>좌측 시력 저하입니다. 안경점 방문하여 시력교정 필요합니다.</v>
      </c>
      <c r="E991" s="1" t="str">
        <f t="shared" si="321"/>
        <v>WOK02</v>
      </c>
      <c r="F991" s="1" t="str">
        <f>""</f>
        <v/>
      </c>
      <c r="G991" s="1" t="str">
        <f>"DISH"</f>
        <v>DISH</v>
      </c>
      <c r="H991" s="1" t="str">
        <f>"REL31"</f>
        <v>REL31</v>
      </c>
      <c r="I991" s="1" t="str">
        <f>""</f>
        <v/>
      </c>
      <c r="J991" s="1" t="str">
        <f>"C38C"</f>
        <v>C38C</v>
      </c>
      <c r="K991" s="1" t="str">
        <f>"C38C"</f>
        <v>C38C</v>
      </c>
      <c r="L991" s="1" t="str">
        <f t="shared" si="317"/>
        <v>R</v>
      </c>
      <c r="M991" s="1" t="str">
        <f>"T09"</f>
        <v>T09</v>
      </c>
      <c r="N991" s="1" t="str">
        <f t="shared" si="322"/>
        <v>Y</v>
      </c>
      <c r="O991" s="1" t="str">
        <f t="shared" si="319"/>
        <v>Y</v>
      </c>
      <c r="P991" s="1" t="str">
        <f t="shared" si="316"/>
        <v>Y</v>
      </c>
      <c r="Q991" s="1" t="str">
        <f t="shared" si="311"/>
        <v>A</v>
      </c>
    </row>
    <row r="992" spans="1:17" x14ac:dyDescent="0.3">
      <c r="A992" s="1" t="str">
        <f t="shared" si="300"/>
        <v>C2</v>
      </c>
      <c r="B992" s="1" t="str">
        <f>"STU308"</f>
        <v>STU308</v>
      </c>
      <c r="C992" s="1" t="str">
        <f>"우측 시력저하"</f>
        <v>우측 시력저하</v>
      </c>
      <c r="D992" s="1" t="str">
        <f>"우측 시력 저하입니다. 안경점 방문하여 시력교정 필요합니다."</f>
        <v>우측 시력 저하입니다. 안경점 방문하여 시력교정 필요합니다.</v>
      </c>
      <c r="E992" s="1" t="str">
        <f t="shared" si="321"/>
        <v>WOK02</v>
      </c>
      <c r="F992" s="1" t="str">
        <f>""</f>
        <v/>
      </c>
      <c r="G992" s="1" t="str">
        <f>"DISH"</f>
        <v>DISH</v>
      </c>
      <c r="H992" s="1" t="str">
        <f>"REL31"</f>
        <v>REL31</v>
      </c>
      <c r="I992" s="1" t="str">
        <f>""</f>
        <v/>
      </c>
      <c r="J992" s="1" t="str">
        <f>"C38C"</f>
        <v>C38C</v>
      </c>
      <c r="K992" s="1" t="str">
        <f>"C38C"</f>
        <v>C38C</v>
      </c>
      <c r="L992" s="1" t="str">
        <f t="shared" si="317"/>
        <v>R</v>
      </c>
      <c r="M992" s="1" t="str">
        <f>"T09"</f>
        <v>T09</v>
      </c>
      <c r="N992" s="1" t="str">
        <f t="shared" si="322"/>
        <v>Y</v>
      </c>
      <c r="O992" s="1" t="str">
        <f t="shared" si="319"/>
        <v>Y</v>
      </c>
      <c r="P992" s="1" t="str">
        <f t="shared" si="316"/>
        <v>Y</v>
      </c>
      <c r="Q992" s="1" t="str">
        <f t="shared" si="311"/>
        <v>A</v>
      </c>
    </row>
    <row r="993" spans="1:17" x14ac:dyDescent="0.3">
      <c r="A993" s="1" t="str">
        <f t="shared" si="300"/>
        <v>C2</v>
      </c>
      <c r="B993" s="1" t="str">
        <f>"UBIJC02"</f>
        <v>UBIJC02</v>
      </c>
      <c r="C993" s="1" t="str">
        <f>"간담도계 질환 주의 소견"</f>
        <v>간담도계 질환 주의 소견</v>
      </c>
      <c r="D993" s="1" t="str">
        <f>"소변검사에서 간담도계 질환을 시사하는 소견이 나타났습니다. 검체 오염 등으로 인한 일시적인 현상일 수 있지만 3개월 후 내과 내원하여 추적검사 바랍니다."</f>
        <v>소변검사에서 간담도계 질환을 시사하는 소견이 나타났습니다. 검체 오염 등으로 인한 일시적인 현상일 수 있지만 3개월 후 내과 내원하여 추적검사 바랍니다.</v>
      </c>
      <c r="E993" s="1" t="str">
        <f t="shared" si="321"/>
        <v>WOK02</v>
      </c>
      <c r="F993" s="1" t="str">
        <f>"PTM03"</f>
        <v>PTM03</v>
      </c>
      <c r="G993" s="1" t="str">
        <f>"DISK"</f>
        <v>DISK</v>
      </c>
      <c r="H993" s="1" t="str">
        <f>"REL05"</f>
        <v>REL05</v>
      </c>
      <c r="I993" s="1" t="str">
        <f>""</f>
        <v/>
      </c>
      <c r="J993" s="1" t="str">
        <f>"C05C"</f>
        <v>C05C</v>
      </c>
      <c r="K993" s="1" t="str">
        <f>"C05C"</f>
        <v>C05C</v>
      </c>
      <c r="L993" s="1" t="str">
        <f t="shared" si="317"/>
        <v>R</v>
      </c>
      <c r="M993" s="1" t="str">
        <f>"T02"</f>
        <v>T02</v>
      </c>
      <c r="N993" s="1" t="str">
        <f t="shared" si="322"/>
        <v>Y</v>
      </c>
      <c r="O993" s="1" t="str">
        <f t="shared" si="319"/>
        <v>Y</v>
      </c>
      <c r="P993" s="1" t="str">
        <f t="shared" si="316"/>
        <v>Y</v>
      </c>
      <c r="Q993" s="1" t="str">
        <f t="shared" ref="Q993:Q1023" si="323">"A"</f>
        <v>A</v>
      </c>
    </row>
    <row r="994" spans="1:17" x14ac:dyDescent="0.3">
      <c r="A994" s="1" t="str">
        <f t="shared" si="300"/>
        <v>C2</v>
      </c>
      <c r="B994" s="1" t="str">
        <f>"UKEJB01"</f>
        <v>UKEJB01</v>
      </c>
      <c r="C994" s="1" t="str">
        <f>"요중 케톤 상승"</f>
        <v>요중 케톤 상승</v>
      </c>
      <c r="D994" s="1" t="str">
        <f>"소변검사에서 소량의 케톤이 검출되었습니다. 당뇨병 등의 기저질환이 없다면 주로 탄수화물 섭취가 부족할 때 나타나는 소견입니다. 다음 검사 시에 추적관찰 바랍니다."</f>
        <v>소변검사에서 소량의 케톤이 검출되었습니다. 당뇨병 등의 기저질환이 없다면 주로 탄수화물 섭취가 부족할 때 나타나는 소견입니다. 다음 검사 시에 추적관찰 바랍니다.</v>
      </c>
      <c r="E994" s="1" t="str">
        <f t="shared" si="321"/>
        <v>WOK02</v>
      </c>
      <c r="F994" s="1" t="str">
        <f>"PTM03"</f>
        <v>PTM03</v>
      </c>
      <c r="G994" s="1" t="str">
        <f>"DISN"</f>
        <v>DISN</v>
      </c>
      <c r="H994" s="1" t="str">
        <f>"REL07"</f>
        <v>REL07</v>
      </c>
      <c r="I994" s="1" t="str">
        <f>""</f>
        <v/>
      </c>
      <c r="J994" s="1" t="str">
        <f>"C06C"</f>
        <v>C06C</v>
      </c>
      <c r="K994" s="1" t="str">
        <f>"C06C"</f>
        <v>C06C</v>
      </c>
      <c r="L994" s="1" t="str">
        <f t="shared" si="317"/>
        <v>R</v>
      </c>
      <c r="M994" s="1" t="str">
        <f>"T05"</f>
        <v>T05</v>
      </c>
      <c r="N994" s="1" t="str">
        <f t="shared" si="322"/>
        <v>Y</v>
      </c>
      <c r="O994" s="1" t="str">
        <f t="shared" si="319"/>
        <v>Y</v>
      </c>
      <c r="P994" s="1" t="str">
        <f t="shared" si="316"/>
        <v>Y</v>
      </c>
      <c r="Q994" s="1" t="str">
        <f t="shared" si="323"/>
        <v>A</v>
      </c>
    </row>
    <row r="995" spans="1:17" x14ac:dyDescent="0.3">
      <c r="A995" s="1" t="str">
        <f t="shared" si="300"/>
        <v>C2</v>
      </c>
      <c r="B995" s="1" t="str">
        <f>"URI201"</f>
        <v>URI201</v>
      </c>
      <c r="C995" s="1" t="str">
        <f>"경미한 요산증가"</f>
        <v>경미한 요산증가</v>
      </c>
      <c r="D995" s="1" t="str">
        <f>"요산에 대한 추적검사를 받으세요"</f>
        <v>요산에 대한 추적검사를 받으세요</v>
      </c>
      <c r="E995" s="1" t="str">
        <f t="shared" si="321"/>
        <v>WOK02</v>
      </c>
      <c r="F995" s="1" t="str">
        <f>"PTM033"</f>
        <v>PTM033</v>
      </c>
      <c r="G995" s="1" t="str">
        <f>"DISN"</f>
        <v>DISN</v>
      </c>
      <c r="H995" s="1" t="str">
        <f>"REL08"</f>
        <v>REL08</v>
      </c>
      <c r="I995" s="1" t="str">
        <f>""</f>
        <v/>
      </c>
      <c r="J995" s="1" t="str">
        <f>"C07C"</f>
        <v>C07C</v>
      </c>
      <c r="K995" s="1" t="str">
        <f>"C07C"</f>
        <v>C07C</v>
      </c>
      <c r="L995" s="1" t="str">
        <f t="shared" si="317"/>
        <v>R</v>
      </c>
      <c r="M995" s="1" t="str">
        <f>"T05"</f>
        <v>T05</v>
      </c>
      <c r="N995" s="1" t="str">
        <f t="shared" si="322"/>
        <v>Y</v>
      </c>
      <c r="O995" s="1" t="str">
        <f t="shared" si="319"/>
        <v>Y</v>
      </c>
      <c r="P995" s="1" t="str">
        <f t="shared" si="316"/>
        <v>Y</v>
      </c>
      <c r="Q995" s="1" t="str">
        <f t="shared" si="323"/>
        <v>A</v>
      </c>
    </row>
    <row r="996" spans="1:17" x14ac:dyDescent="0.3">
      <c r="A996" s="1" t="str">
        <f t="shared" si="300"/>
        <v>C2</v>
      </c>
      <c r="B996" s="1" t="str">
        <f>"URI301"</f>
        <v>URI301</v>
      </c>
      <c r="C996" s="1" t="str">
        <f>"요산증주의"</f>
        <v>요산증주의</v>
      </c>
      <c r="D996" s="1" t="str">
        <f>"요산에 대한 추적검사를 받으세요"</f>
        <v>요산에 대한 추적검사를 받으세요</v>
      </c>
      <c r="E996" s="1" t="str">
        <f>""</f>
        <v/>
      </c>
      <c r="F996" s="1" t="str">
        <f>""</f>
        <v/>
      </c>
      <c r="G996" s="1" t="str">
        <f>""</f>
        <v/>
      </c>
      <c r="H996" s="1" t="str">
        <f>""</f>
        <v/>
      </c>
      <c r="I996" s="1" t="str">
        <f>""</f>
        <v/>
      </c>
      <c r="J996" s="1" t="str">
        <f>""</f>
        <v/>
      </c>
      <c r="K996" s="1" t="str">
        <f>""</f>
        <v/>
      </c>
      <c r="L996" s="1" t="str">
        <f t="shared" si="317"/>
        <v>R</v>
      </c>
      <c r="M996" s="1" t="str">
        <f>""</f>
        <v/>
      </c>
      <c r="N996" s="1" t="str">
        <f t="shared" si="322"/>
        <v>Y</v>
      </c>
      <c r="O996" s="1" t="str">
        <f t="shared" si="319"/>
        <v>Y</v>
      </c>
      <c r="P996" s="1" t="str">
        <f t="shared" si="316"/>
        <v>Y</v>
      </c>
      <c r="Q996" s="1" t="str">
        <f t="shared" si="323"/>
        <v>A</v>
      </c>
    </row>
    <row r="997" spans="1:17" x14ac:dyDescent="0.3">
      <c r="A997" s="1" t="str">
        <f t="shared" ref="A997:A1023" si="324">"CN"</f>
        <v>CN</v>
      </c>
      <c r="B997" s="1" t="str">
        <f>"DMD304CN"</f>
        <v>DMD304CN</v>
      </c>
      <c r="C997" s="1" t="str">
        <f>"당뇨병 의심"</f>
        <v>당뇨병 의심</v>
      </c>
      <c r="D997" s="1" t="str">
        <f>"당뇨병이 의심됩니다. 당뇨식이와 규칙적인 운동 및 내과진료를 받으시길 바랍니다."</f>
        <v>당뇨병이 의심됩니다. 당뇨식이와 규칙적인 운동 및 내과진료를 받으시길 바랍니다.</v>
      </c>
      <c r="E997" s="1" t="str">
        <f t="shared" ref="E997:E1028" si="325">"WOK02"</f>
        <v>WOK02</v>
      </c>
      <c r="F997" s="1" t="str">
        <f>"PTM01"</f>
        <v>PTM01</v>
      </c>
      <c r="G997" s="1" t="str">
        <f>"DIS600"</f>
        <v>DIS600</v>
      </c>
      <c r="H997" s="1" t="str">
        <f>"REL07"</f>
        <v>REL07</v>
      </c>
      <c r="I997" s="1" t="str">
        <f>""</f>
        <v/>
      </c>
      <c r="J997" s="1" t="str">
        <f t="shared" ref="J997:K999" si="326">"N01C"</f>
        <v>N01C</v>
      </c>
      <c r="K997" s="1" t="str">
        <f t="shared" si="326"/>
        <v>N01C</v>
      </c>
      <c r="L997" s="1" t="str">
        <f t="shared" si="317"/>
        <v>R</v>
      </c>
      <c r="M997" s="1" t="str">
        <f>"T031"</f>
        <v>T031</v>
      </c>
      <c r="N997" s="1" t="str">
        <f t="shared" si="322"/>
        <v>Y</v>
      </c>
      <c r="O997" s="1" t="str">
        <f t="shared" si="319"/>
        <v>Y</v>
      </c>
      <c r="P997" s="1" t="str">
        <f t="shared" si="316"/>
        <v>Y</v>
      </c>
      <c r="Q997" s="1" t="str">
        <f t="shared" si="323"/>
        <v>A</v>
      </c>
    </row>
    <row r="998" spans="1:17" x14ac:dyDescent="0.3">
      <c r="A998" s="1" t="str">
        <f t="shared" si="324"/>
        <v>CN</v>
      </c>
      <c r="B998" s="1" t="str">
        <f>"DMD305CN"</f>
        <v>DMD305CN</v>
      </c>
      <c r="C998" s="1" t="str">
        <f>"당화혈색소 상승"</f>
        <v>당화혈색소 상승</v>
      </c>
      <c r="D998" s="1" t="str">
        <f>"당뇨병 주의. 내과 진료 권고"</f>
        <v>당뇨병 주의. 내과 진료 권고</v>
      </c>
      <c r="E998" s="1" t="str">
        <f t="shared" si="325"/>
        <v>WOK02</v>
      </c>
      <c r="F998" s="1" t="str">
        <f>"PTM01"</f>
        <v>PTM01</v>
      </c>
      <c r="G998" s="1" t="str">
        <f>"DIS600"</f>
        <v>DIS600</v>
      </c>
      <c r="H998" s="1" t="str">
        <f>"REL07"</f>
        <v>REL07</v>
      </c>
      <c r="I998" s="1" t="str">
        <f>""</f>
        <v/>
      </c>
      <c r="J998" s="1" t="str">
        <f t="shared" si="326"/>
        <v>N01C</v>
      </c>
      <c r="K998" s="1" t="str">
        <f t="shared" si="326"/>
        <v>N01C</v>
      </c>
      <c r="L998" s="1" t="str">
        <f t="shared" si="317"/>
        <v>R</v>
      </c>
      <c r="M998" s="1" t="str">
        <f>"T031"</f>
        <v>T031</v>
      </c>
      <c r="N998" s="1" t="str">
        <f t="shared" si="322"/>
        <v>Y</v>
      </c>
      <c r="O998" s="1" t="str">
        <f t="shared" si="319"/>
        <v>Y</v>
      </c>
      <c r="P998" s="1" t="str">
        <f t="shared" si="316"/>
        <v>Y</v>
      </c>
      <c r="Q998" s="1" t="str">
        <f t="shared" si="323"/>
        <v>A</v>
      </c>
    </row>
    <row r="999" spans="1:17" x14ac:dyDescent="0.3">
      <c r="A999" s="1" t="str">
        <f t="shared" si="324"/>
        <v>CN</v>
      </c>
      <c r="B999" s="1" t="str">
        <f>"EMP302CN"</f>
        <v>EMP302CN</v>
      </c>
      <c r="C999" s="1" t="str">
        <f>"공복혈당장애"</f>
        <v>공복혈당장애</v>
      </c>
      <c r="D999" s="1" t="s">
        <v>330</v>
      </c>
      <c r="E999" s="1" t="str">
        <f t="shared" si="325"/>
        <v>WOK02</v>
      </c>
      <c r="F999" s="1" t="str">
        <f>"PTM03"</f>
        <v>PTM03</v>
      </c>
      <c r="G999" s="1" t="str">
        <f>"DISE"</f>
        <v>DISE</v>
      </c>
      <c r="H999" s="1" t="str">
        <f>"REL07"</f>
        <v>REL07</v>
      </c>
      <c r="I999" s="1" t="str">
        <f t="shared" ref="I999:I1012" si="327">"P0601"</f>
        <v>P0601</v>
      </c>
      <c r="J999" s="1" t="str">
        <f t="shared" si="326"/>
        <v>N01C</v>
      </c>
      <c r="K999" s="1" t="str">
        <f t="shared" si="326"/>
        <v>N01C</v>
      </c>
      <c r="L999" s="1" t="str">
        <f t="shared" si="317"/>
        <v>R</v>
      </c>
      <c r="M999" s="1" t="str">
        <f>"T031"</f>
        <v>T031</v>
      </c>
      <c r="N999" s="1" t="str">
        <f t="shared" si="322"/>
        <v>Y</v>
      </c>
      <c r="O999" s="1" t="str">
        <f t="shared" si="319"/>
        <v>Y</v>
      </c>
      <c r="P999" s="1" t="str">
        <f t="shared" si="316"/>
        <v>Y</v>
      </c>
      <c r="Q999" s="1" t="str">
        <f t="shared" si="323"/>
        <v>A</v>
      </c>
    </row>
    <row r="1000" spans="1:17" x14ac:dyDescent="0.3">
      <c r="A1000" s="1" t="str">
        <f t="shared" si="324"/>
        <v>CN</v>
      </c>
      <c r="B1000" s="1" t="str">
        <f>"GNHDL01"</f>
        <v>GNHDL01</v>
      </c>
      <c r="C1000" s="1" t="str">
        <f>"고밀도 콜레스테롤 부족"</f>
        <v>고밀도 콜레스테롤 부족</v>
      </c>
      <c r="D1000" s="1" t="str">
        <f>"증상이 없으면 약물 치료가 필요하지 않습니다. 충분한 영양섭취와 적절한 운동으로 관리 바랍니다."</f>
        <v>증상이 없으면 약물 치료가 필요하지 않습니다. 충분한 영양섭취와 적절한 운동으로 관리 바랍니다.</v>
      </c>
      <c r="E1000" s="1" t="str">
        <f t="shared" si="325"/>
        <v>WOK02</v>
      </c>
      <c r="F1000" s="1" t="str">
        <f>"PTM03"</f>
        <v>PTM03</v>
      </c>
      <c r="G1000" s="1" t="str">
        <f>"DISE"</f>
        <v>DISE</v>
      </c>
      <c r="H1000" s="1" t="str">
        <f>"REL04"</f>
        <v>REL04</v>
      </c>
      <c r="I1000" s="1" t="str">
        <f t="shared" si="327"/>
        <v>P0601</v>
      </c>
      <c r="J1000" s="1" t="str">
        <f>"C04C"</f>
        <v>C04C</v>
      </c>
      <c r="K1000" s="1" t="str">
        <f>"C04C"</f>
        <v>C04C</v>
      </c>
      <c r="L1000" s="1" t="str">
        <f t="shared" si="317"/>
        <v>R</v>
      </c>
      <c r="M1000" s="1" t="str">
        <f>"T03"</f>
        <v>T03</v>
      </c>
      <c r="N1000" s="1" t="str">
        <f t="shared" si="322"/>
        <v>Y</v>
      </c>
      <c r="O1000" s="1" t="str">
        <f t="shared" si="319"/>
        <v>Y</v>
      </c>
      <c r="P1000" s="1" t="str">
        <f t="shared" si="316"/>
        <v>Y</v>
      </c>
      <c r="Q1000" s="1" t="str">
        <f t="shared" si="323"/>
        <v>A</v>
      </c>
    </row>
    <row r="1001" spans="1:17" x14ac:dyDescent="0.3">
      <c r="A1001" s="1" t="str">
        <f t="shared" si="324"/>
        <v>CN</v>
      </c>
      <c r="B1001" s="1" t="str">
        <f>"GNSNBC103"</f>
        <v>GNSNBC103</v>
      </c>
      <c r="C1001" s="1" t="str">
        <f>"내분비계(야간작업) 유방 질환 주의"</f>
        <v>내분비계(야간작업) 유방 질환 주의</v>
      </c>
      <c r="D1001" s="1" t="str">
        <f>"증상이 있으면 유방촬영 및 유방초음파 등의 정밀검사가 필요합니다. 유방외과 내원하여 정확한 진단 및 치료 바랍니다."</f>
        <v>증상이 있으면 유방촬영 및 유방초음파 등의 정밀검사가 필요합니다. 유방외과 내원하여 정확한 진단 및 치료 바랍니다.</v>
      </c>
      <c r="E1001" s="1" t="str">
        <f t="shared" si="325"/>
        <v>WOK02</v>
      </c>
      <c r="F1001" s="1" t="str">
        <f>"PTM03"</f>
        <v>PTM03</v>
      </c>
      <c r="G1001" s="1" t="str">
        <f>"DISE"</f>
        <v>DISE</v>
      </c>
      <c r="H1001" s="1" t="str">
        <f>"REL23"</f>
        <v>REL23</v>
      </c>
      <c r="I1001" s="1" t="str">
        <f t="shared" si="327"/>
        <v>P0601</v>
      </c>
      <c r="J1001" s="1" t="str">
        <f t="shared" ref="J1001:K1016" si="328">"N01C"</f>
        <v>N01C</v>
      </c>
      <c r="K1001" s="1" t="str">
        <f t="shared" si="328"/>
        <v>N01C</v>
      </c>
      <c r="L1001" s="1" t="str">
        <f t="shared" si="317"/>
        <v>R</v>
      </c>
      <c r="M1001" s="1" t="str">
        <f>"T211"</f>
        <v>T211</v>
      </c>
      <c r="N1001" s="1" t="str">
        <f t="shared" si="322"/>
        <v>Y</v>
      </c>
      <c r="O1001" s="1" t="str">
        <f t="shared" si="319"/>
        <v>Y</v>
      </c>
      <c r="P1001" s="1" t="str">
        <f t="shared" si="316"/>
        <v>Y</v>
      </c>
      <c r="Q1001" s="1" t="str">
        <f t="shared" si="323"/>
        <v>A</v>
      </c>
    </row>
    <row r="1002" spans="1:17" x14ac:dyDescent="0.3">
      <c r="A1002" s="1" t="str">
        <f t="shared" si="324"/>
        <v>CN</v>
      </c>
      <c r="B1002" s="1" t="str">
        <f>"GNSNBC203"</f>
        <v>GNSNBC203</v>
      </c>
      <c r="C1002" s="1" t="str">
        <f>"(내분비계(야간작업) 유방암) 요관찰"</f>
        <v>(내분비계(야간작업) 유방암) 요관찰</v>
      </c>
      <c r="D1002" s="1" t="s">
        <v>331</v>
      </c>
      <c r="E1002" s="1" t="str">
        <f t="shared" si="325"/>
        <v>WOK02</v>
      </c>
      <c r="F1002" s="1" t="str">
        <f>"PTM01"</f>
        <v>PTM01</v>
      </c>
      <c r="G1002" s="1" t="str">
        <f t="shared" ref="G1002:G1023" si="329">"DIS600"</f>
        <v>DIS600</v>
      </c>
      <c r="H1002" s="1" t="str">
        <f>"REL23"</f>
        <v>REL23</v>
      </c>
      <c r="I1002" s="1" t="str">
        <f t="shared" si="327"/>
        <v>P0601</v>
      </c>
      <c r="J1002" s="1" t="str">
        <f t="shared" si="328"/>
        <v>N01C</v>
      </c>
      <c r="K1002" s="1" t="str">
        <f t="shared" si="328"/>
        <v>N01C</v>
      </c>
      <c r="L1002" s="1" t="str">
        <f t="shared" si="317"/>
        <v>R</v>
      </c>
      <c r="M1002" s="1" t="str">
        <f>"T211"</f>
        <v>T211</v>
      </c>
      <c r="N1002" s="1" t="str">
        <f t="shared" si="322"/>
        <v>Y</v>
      </c>
      <c r="O1002" s="1" t="str">
        <f t="shared" si="319"/>
        <v>Y</v>
      </c>
      <c r="P1002" s="1" t="str">
        <f t="shared" si="316"/>
        <v>Y</v>
      </c>
      <c r="Q1002" s="1" t="str">
        <f t="shared" si="323"/>
        <v>A</v>
      </c>
    </row>
    <row r="1003" spans="1:17" x14ac:dyDescent="0.3">
      <c r="A1003" s="1" t="str">
        <f t="shared" si="324"/>
        <v>CN</v>
      </c>
      <c r="B1003" s="1" t="str">
        <f>"GNSNBP203"</f>
        <v>GNSNBP203</v>
      </c>
      <c r="C1003" s="1" t="str">
        <f>"(심혈관계(야간작업) 혈압) 고혈압 요관찰"</f>
        <v>(심혈관계(야간작업) 혈압) 고혈압 요관찰</v>
      </c>
      <c r="D1003" s="1" t="str">
        <f>"혈압 상승 소견이 관찰됩니다. 근무 후 충분한 수면과 휴식을 취하고 건강한 생활습관을 유지하시기 바랍니다."</f>
        <v>혈압 상승 소견이 관찰됩니다. 근무 후 충분한 수면과 휴식을 취하고 건강한 생활습관을 유지하시기 바랍니다.</v>
      </c>
      <c r="E1003" s="1" t="str">
        <f t="shared" si="325"/>
        <v>WOK02</v>
      </c>
      <c r="F1003" s="1" t="str">
        <f>"PTM01"</f>
        <v>PTM01</v>
      </c>
      <c r="G1003" s="1" t="str">
        <f t="shared" si="329"/>
        <v>DIS600</v>
      </c>
      <c r="H1003" s="1" t="str">
        <f>"REL06"</f>
        <v>REL06</v>
      </c>
      <c r="I1003" s="1" t="str">
        <f t="shared" si="327"/>
        <v>P0601</v>
      </c>
      <c r="J1003" s="1" t="str">
        <f t="shared" si="328"/>
        <v>N01C</v>
      </c>
      <c r="K1003" s="1" t="str">
        <f t="shared" si="328"/>
        <v>N01C</v>
      </c>
      <c r="L1003" s="1" t="str">
        <f t="shared" si="317"/>
        <v>R</v>
      </c>
      <c r="M1003" s="1" t="str">
        <f>"T031"</f>
        <v>T031</v>
      </c>
      <c r="N1003" s="1" t="str">
        <f t="shared" si="322"/>
        <v>Y</v>
      </c>
      <c r="O1003" s="1" t="str">
        <f t="shared" si="319"/>
        <v>Y</v>
      </c>
      <c r="P1003" s="1" t="str">
        <f t="shared" si="316"/>
        <v>Y</v>
      </c>
      <c r="Q1003" s="1" t="str">
        <f t="shared" si="323"/>
        <v>A</v>
      </c>
    </row>
    <row r="1004" spans="1:17" x14ac:dyDescent="0.3">
      <c r="A1004" s="1" t="str">
        <f t="shared" si="324"/>
        <v>CN</v>
      </c>
      <c r="B1004" s="1" t="str">
        <f>"GNSNDL103"</f>
        <v>GNSNDL103</v>
      </c>
      <c r="C1004" s="1" t="str">
        <f>"심혈관계(야간작업) 이상지질혈증 요관찰"</f>
        <v>심혈관계(야간작업) 이상지질혈증 요관찰</v>
      </c>
      <c r="D1004" s="1" t="str">
        <f>"혈중 지질 이상 소견이 관찰됩니다. 근무 후 충분한 수면과 휴식을 취하고 건강한 생활습관을 유지하시기 바랍니다."</f>
        <v>혈중 지질 이상 소견이 관찰됩니다. 근무 후 충분한 수면과 휴식을 취하고 건강한 생활습관을 유지하시기 바랍니다.</v>
      </c>
      <c r="E1004" s="1" t="str">
        <f t="shared" si="325"/>
        <v>WOK02</v>
      </c>
      <c r="F1004" s="1" t="str">
        <f>"PTM01"</f>
        <v>PTM01</v>
      </c>
      <c r="G1004" s="1" t="str">
        <f t="shared" si="329"/>
        <v>DIS600</v>
      </c>
      <c r="H1004" s="1" t="str">
        <f>"REL06"</f>
        <v>REL06</v>
      </c>
      <c r="I1004" s="1" t="str">
        <f t="shared" si="327"/>
        <v>P0601</v>
      </c>
      <c r="J1004" s="1" t="str">
        <f t="shared" si="328"/>
        <v>N01C</v>
      </c>
      <c r="K1004" s="1" t="str">
        <f t="shared" si="328"/>
        <v>N01C</v>
      </c>
      <c r="L1004" s="1" t="str">
        <f t="shared" si="317"/>
        <v>R</v>
      </c>
      <c r="M1004" s="1" t="str">
        <f>"T031"</f>
        <v>T031</v>
      </c>
      <c r="N1004" s="1" t="str">
        <f t="shared" si="322"/>
        <v>Y</v>
      </c>
      <c r="O1004" s="1" t="str">
        <f t="shared" si="319"/>
        <v>Y</v>
      </c>
      <c r="P1004" s="1" t="str">
        <f t="shared" si="316"/>
        <v>Y</v>
      </c>
      <c r="Q1004" s="1" t="str">
        <f t="shared" si="323"/>
        <v>A</v>
      </c>
    </row>
    <row r="1005" spans="1:17" x14ac:dyDescent="0.3">
      <c r="A1005" s="1" t="str">
        <f t="shared" si="324"/>
        <v>CN</v>
      </c>
      <c r="B1005" s="1" t="str">
        <f>"GNSNDL203"</f>
        <v>GNSNDL203</v>
      </c>
      <c r="C1005" s="1" t="str">
        <f>"이상지질혈증 주의"</f>
        <v>이상지질혈증 주의</v>
      </c>
      <c r="D1005" s="1" t="s">
        <v>332</v>
      </c>
      <c r="E1005" s="1" t="str">
        <f t="shared" si="325"/>
        <v>WOK02</v>
      </c>
      <c r="F1005" s="1" t="str">
        <f>"PTM03"</f>
        <v>PTM03</v>
      </c>
      <c r="G1005" s="1" t="str">
        <f t="shared" si="329"/>
        <v>DIS600</v>
      </c>
      <c r="H1005" s="1" t="str">
        <f>"REL04"</f>
        <v>REL04</v>
      </c>
      <c r="I1005" s="1" t="str">
        <f t="shared" si="327"/>
        <v>P0601</v>
      </c>
      <c r="J1005" s="1" t="str">
        <f t="shared" si="328"/>
        <v>N01C</v>
      </c>
      <c r="K1005" s="1" t="str">
        <f t="shared" si="328"/>
        <v>N01C</v>
      </c>
      <c r="L1005" s="1" t="str">
        <f t="shared" ref="L1005:L1027" si="330">"R"</f>
        <v>R</v>
      </c>
      <c r="M1005" s="1" t="str">
        <f>"T031"</f>
        <v>T031</v>
      </c>
      <c r="N1005" s="1" t="str">
        <f t="shared" si="322"/>
        <v>Y</v>
      </c>
      <c r="O1005" s="1" t="str">
        <f t="shared" si="319"/>
        <v>Y</v>
      </c>
      <c r="P1005" s="1" t="str">
        <f t="shared" si="316"/>
        <v>Y</v>
      </c>
      <c r="Q1005" s="1" t="str">
        <f t="shared" si="323"/>
        <v>A</v>
      </c>
    </row>
    <row r="1006" spans="1:17" x14ac:dyDescent="0.3">
      <c r="A1006" s="1" t="str">
        <f t="shared" si="324"/>
        <v>CN</v>
      </c>
      <c r="B1006" s="1" t="str">
        <f>"GNSNDM203"</f>
        <v>GNSNDM203</v>
      </c>
      <c r="C1006" s="1" t="str">
        <f>"당뇨병 주의"</f>
        <v>당뇨병 주의</v>
      </c>
      <c r="D1006" s="1" t="s">
        <v>333</v>
      </c>
      <c r="E1006" s="1" t="str">
        <f t="shared" si="325"/>
        <v>WOK02</v>
      </c>
      <c r="F1006" s="1" t="str">
        <f>"PTM03"</f>
        <v>PTM03</v>
      </c>
      <c r="G1006" s="1" t="str">
        <f t="shared" si="329"/>
        <v>DIS600</v>
      </c>
      <c r="H1006" s="1" t="str">
        <f>"REL07"</f>
        <v>REL07</v>
      </c>
      <c r="I1006" s="1" t="str">
        <f t="shared" si="327"/>
        <v>P0601</v>
      </c>
      <c r="J1006" s="1" t="str">
        <f t="shared" si="328"/>
        <v>N01C</v>
      </c>
      <c r="K1006" s="1" t="str">
        <f t="shared" si="328"/>
        <v>N01C</v>
      </c>
      <c r="L1006" s="1" t="str">
        <f t="shared" si="330"/>
        <v>R</v>
      </c>
      <c r="M1006" s="1" t="str">
        <f>"T031"</f>
        <v>T031</v>
      </c>
      <c r="N1006" s="1" t="str">
        <f t="shared" si="322"/>
        <v>Y</v>
      </c>
      <c r="O1006" s="1" t="str">
        <f t="shared" si="319"/>
        <v>Y</v>
      </c>
      <c r="P1006" s="1" t="str">
        <f t="shared" si="316"/>
        <v>Y</v>
      </c>
      <c r="Q1006" s="1" t="str">
        <f t="shared" si="323"/>
        <v>A</v>
      </c>
    </row>
    <row r="1007" spans="1:17" x14ac:dyDescent="0.3">
      <c r="A1007" s="1" t="str">
        <f t="shared" si="324"/>
        <v>CN</v>
      </c>
      <c r="B1007" s="1" t="str">
        <f>"GNSNGI102"</f>
        <v>GNSNGI102</v>
      </c>
      <c r="C1007" s="1" t="str">
        <f>"위장관계(야간작업) 위장관장애 요관찰"</f>
        <v>위장관계(야간작업) 위장관장애 요관찰</v>
      </c>
      <c r="D1007" s="1" t="s">
        <v>334</v>
      </c>
      <c r="E1007" s="1" t="str">
        <f t="shared" si="325"/>
        <v>WOK02</v>
      </c>
      <c r="F1007" s="1" t="str">
        <f>"PTM04"</f>
        <v>PTM04</v>
      </c>
      <c r="G1007" s="1" t="str">
        <f t="shared" si="329"/>
        <v>DIS600</v>
      </c>
      <c r="H1007" s="1" t="str">
        <f>"REL37"</f>
        <v>REL37</v>
      </c>
      <c r="I1007" s="1" t="str">
        <f t="shared" si="327"/>
        <v>P0601</v>
      </c>
      <c r="J1007" s="1" t="str">
        <f t="shared" si="328"/>
        <v>N01C</v>
      </c>
      <c r="K1007" s="1" t="str">
        <f t="shared" si="328"/>
        <v>N01C</v>
      </c>
      <c r="L1007" s="1" t="str">
        <f t="shared" si="330"/>
        <v>R</v>
      </c>
      <c r="M1007" s="1" t="str">
        <f>"T201"</f>
        <v>T201</v>
      </c>
      <c r="N1007" s="1" t="str">
        <f t="shared" si="322"/>
        <v>Y</v>
      </c>
      <c r="O1007" s="1" t="str">
        <f t="shared" si="319"/>
        <v>Y</v>
      </c>
      <c r="P1007" s="1" t="str">
        <f t="shared" si="316"/>
        <v>Y</v>
      </c>
      <c r="Q1007" s="1" t="str">
        <f t="shared" si="323"/>
        <v>A</v>
      </c>
    </row>
    <row r="1008" spans="1:17" x14ac:dyDescent="0.3">
      <c r="A1008" s="1" t="str">
        <f t="shared" si="324"/>
        <v>CN</v>
      </c>
      <c r="B1008" s="1" t="str">
        <f>"GNSNGI103"</f>
        <v>GNSNGI103</v>
      </c>
      <c r="C1008" s="1" t="str">
        <f>"위장관계 질환 주의"</f>
        <v>위장관계 질환 주의</v>
      </c>
      <c r="D1008" s="1" t="str">
        <f>"야간작업 시 자극적인 음식을 피하고 규칙적인 식사 바랍니다. 6개월 이상 증상이 지속될 경우 위내시경 등 정밀검사가 필요하므로 내과 진료 바랍니다."</f>
        <v>야간작업 시 자극적인 음식을 피하고 규칙적인 식사 바랍니다. 6개월 이상 증상이 지속될 경우 위내시경 등 정밀검사가 필요하므로 내과 진료 바랍니다.</v>
      </c>
      <c r="E1008" s="1" t="str">
        <f t="shared" si="325"/>
        <v>WOK02</v>
      </c>
      <c r="F1008" s="1" t="str">
        <f>"PTM03"</f>
        <v>PTM03</v>
      </c>
      <c r="G1008" s="1" t="str">
        <f t="shared" si="329"/>
        <v>DIS600</v>
      </c>
      <c r="H1008" s="1" t="str">
        <f>"REL37"</f>
        <v>REL37</v>
      </c>
      <c r="I1008" s="1" t="str">
        <f t="shared" si="327"/>
        <v>P0601</v>
      </c>
      <c r="J1008" s="1" t="str">
        <f t="shared" si="328"/>
        <v>N01C</v>
      </c>
      <c r="K1008" s="1" t="str">
        <f t="shared" si="328"/>
        <v>N01C</v>
      </c>
      <c r="L1008" s="1" t="str">
        <f t="shared" si="330"/>
        <v>R</v>
      </c>
      <c r="M1008" s="1" t="str">
        <f>"T201"</f>
        <v>T201</v>
      </c>
      <c r="N1008" s="1" t="str">
        <f t="shared" si="322"/>
        <v>Y</v>
      </c>
      <c r="O1008" s="1" t="str">
        <f t="shared" si="319"/>
        <v>Y</v>
      </c>
      <c r="P1008" s="1" t="str">
        <f t="shared" si="316"/>
        <v>Y</v>
      </c>
      <c r="Q1008" s="1" t="str">
        <f t="shared" si="323"/>
        <v>A</v>
      </c>
    </row>
    <row r="1009" spans="1:17" x14ac:dyDescent="0.3">
      <c r="A1009" s="1" t="str">
        <f t="shared" si="324"/>
        <v>CN</v>
      </c>
      <c r="B1009" s="1" t="str">
        <f>"GNSNGI105"</f>
        <v>GNSNGI105</v>
      </c>
      <c r="C1009" s="1" t="str">
        <f>"위장관계 질환 주의"</f>
        <v>위장관계 질환 주의</v>
      </c>
      <c r="D1009" s="1" t="str">
        <f>"야간작업 시 자극적인 음식을 피하고 규칙적인 식사 바랍니다. 6개월 이상 증상이 지속될 경우 위내시경 등 정밀검사가 필요하므로 내과 진료 바랍니다."</f>
        <v>야간작업 시 자극적인 음식을 피하고 규칙적인 식사 바랍니다. 6개월 이상 증상이 지속될 경우 위내시경 등 정밀검사가 필요하므로 내과 진료 바랍니다.</v>
      </c>
      <c r="E1009" s="1" t="str">
        <f t="shared" si="325"/>
        <v>WOK02</v>
      </c>
      <c r="F1009" s="1" t="str">
        <f>"PTM03"</f>
        <v>PTM03</v>
      </c>
      <c r="G1009" s="1" t="str">
        <f t="shared" si="329"/>
        <v>DIS600</v>
      </c>
      <c r="H1009" s="1" t="str">
        <f>"REL37"</f>
        <v>REL37</v>
      </c>
      <c r="I1009" s="1" t="str">
        <f t="shared" si="327"/>
        <v>P0601</v>
      </c>
      <c r="J1009" s="1" t="str">
        <f t="shared" si="328"/>
        <v>N01C</v>
      </c>
      <c r="K1009" s="1" t="str">
        <f t="shared" si="328"/>
        <v>N01C</v>
      </c>
      <c r="L1009" s="1" t="str">
        <f t="shared" si="330"/>
        <v>R</v>
      </c>
      <c r="M1009" s="1" t="str">
        <f>"T201"</f>
        <v>T201</v>
      </c>
      <c r="N1009" s="1" t="str">
        <f t="shared" si="322"/>
        <v>Y</v>
      </c>
      <c r="O1009" s="1" t="str">
        <f t="shared" si="319"/>
        <v>Y</v>
      </c>
      <c r="P1009" s="1" t="str">
        <f t="shared" si="316"/>
        <v>Y</v>
      </c>
      <c r="Q1009" s="1" t="str">
        <f t="shared" si="323"/>
        <v>A</v>
      </c>
    </row>
    <row r="1010" spans="1:17" x14ac:dyDescent="0.3">
      <c r="A1010" s="1" t="str">
        <f t="shared" si="324"/>
        <v>CN</v>
      </c>
      <c r="B1010" s="1" t="str">
        <f>"GNSNGI203"</f>
        <v>GNSNGI203</v>
      </c>
      <c r="C1010" s="1" t="str">
        <f>"위장관계 질환 주의"</f>
        <v>위장관계 질환 주의</v>
      </c>
      <c r="D1010" s="1" t="str">
        <f>"야간작업 시 자극적인 음식을 피하고 규칙적인 식사 바랍니다. 6개월 이상 증상이 지속될 경우 위내시경 등 정밀검사가 필요하므로 내과 진료 바랍니다."</f>
        <v>야간작업 시 자극적인 음식을 피하고 규칙적인 식사 바랍니다. 6개월 이상 증상이 지속될 경우 위내시경 등 정밀검사가 필요하므로 내과 진료 바랍니다.</v>
      </c>
      <c r="E1010" s="1" t="str">
        <f t="shared" si="325"/>
        <v>WOK02</v>
      </c>
      <c r="F1010" s="1" t="str">
        <f>"PTM03"</f>
        <v>PTM03</v>
      </c>
      <c r="G1010" s="1" t="str">
        <f t="shared" si="329"/>
        <v>DIS600</v>
      </c>
      <c r="H1010" s="1" t="str">
        <f>"REL37"</f>
        <v>REL37</v>
      </c>
      <c r="I1010" s="1" t="str">
        <f t="shared" si="327"/>
        <v>P0601</v>
      </c>
      <c r="J1010" s="1" t="str">
        <f t="shared" si="328"/>
        <v>N01C</v>
      </c>
      <c r="K1010" s="1" t="str">
        <f t="shared" si="328"/>
        <v>N01C</v>
      </c>
      <c r="L1010" s="1" t="str">
        <f t="shared" si="330"/>
        <v>R</v>
      </c>
      <c r="M1010" s="1" t="str">
        <f>"T201"</f>
        <v>T201</v>
      </c>
      <c r="N1010" s="1" t="str">
        <f t="shared" si="322"/>
        <v>Y</v>
      </c>
      <c r="O1010" s="1" t="str">
        <f t="shared" si="319"/>
        <v>Y</v>
      </c>
      <c r="P1010" s="1" t="str">
        <f t="shared" si="316"/>
        <v>Y</v>
      </c>
      <c r="Q1010" s="1" t="str">
        <f t="shared" si="323"/>
        <v>A</v>
      </c>
    </row>
    <row r="1011" spans="1:17" x14ac:dyDescent="0.3">
      <c r="A1011" s="1" t="str">
        <f t="shared" si="324"/>
        <v>CN</v>
      </c>
      <c r="B1011" s="1" t="str">
        <f>"GNSNSD203"</f>
        <v>GNSNSD203</v>
      </c>
      <c r="C1011" s="1" t="str">
        <f>"수면의 질이 나쁨"</f>
        <v>수면의 질이 나쁨</v>
      </c>
      <c r="D1011" s="1" t="s">
        <v>335</v>
      </c>
      <c r="E1011" s="1" t="str">
        <f t="shared" si="325"/>
        <v>WOK02</v>
      </c>
      <c r="F1011" s="1" t="str">
        <f>"PTM03"</f>
        <v>PTM03</v>
      </c>
      <c r="G1011" s="1" t="str">
        <f t="shared" si="329"/>
        <v>DIS600</v>
      </c>
      <c r="H1011" s="1" t="str">
        <f>"REL21"</f>
        <v>REL21</v>
      </c>
      <c r="I1011" s="1" t="str">
        <f t="shared" si="327"/>
        <v>P0601</v>
      </c>
      <c r="J1011" s="1" t="str">
        <f t="shared" si="328"/>
        <v>N01C</v>
      </c>
      <c r="K1011" s="1" t="str">
        <f t="shared" si="328"/>
        <v>N01C</v>
      </c>
      <c r="L1011" s="1" t="str">
        <f t="shared" si="330"/>
        <v>R</v>
      </c>
      <c r="M1011" s="1" t="str">
        <f>"T061"</f>
        <v>T061</v>
      </c>
      <c r="N1011" s="1" t="str">
        <f t="shared" si="322"/>
        <v>Y</v>
      </c>
      <c r="O1011" s="1" t="str">
        <f t="shared" si="319"/>
        <v>Y</v>
      </c>
      <c r="P1011" s="1" t="str">
        <f t="shared" si="316"/>
        <v>Y</v>
      </c>
      <c r="Q1011" s="1" t="str">
        <f t="shared" si="323"/>
        <v>A</v>
      </c>
    </row>
    <row r="1012" spans="1:17" x14ac:dyDescent="0.3">
      <c r="A1012" s="1" t="str">
        <f t="shared" si="324"/>
        <v>CN</v>
      </c>
      <c r="B1012" s="1" t="str">
        <f>"GNSNW102"</f>
        <v>GNSNW102</v>
      </c>
      <c r="C1012" s="1" t="str">
        <f>"심혈관계(야간작업) 복부비만"</f>
        <v>심혈관계(야간작업) 복부비만</v>
      </c>
      <c r="D1012" s="1" t="s">
        <v>336</v>
      </c>
      <c r="E1012" s="1" t="str">
        <f t="shared" si="325"/>
        <v>WOK02</v>
      </c>
      <c r="F1012" s="1" t="str">
        <f>"PTM01"</f>
        <v>PTM01</v>
      </c>
      <c r="G1012" s="1" t="str">
        <f t="shared" si="329"/>
        <v>DIS600</v>
      </c>
      <c r="H1012" s="1" t="str">
        <f>"REL06"</f>
        <v>REL06</v>
      </c>
      <c r="I1012" s="1" t="str">
        <f t="shared" si="327"/>
        <v>P0601</v>
      </c>
      <c r="J1012" s="1" t="str">
        <f t="shared" si="328"/>
        <v>N01C</v>
      </c>
      <c r="K1012" s="1" t="str">
        <f t="shared" si="328"/>
        <v>N01C</v>
      </c>
      <c r="L1012" s="1" t="str">
        <f t="shared" si="330"/>
        <v>R</v>
      </c>
      <c r="M1012" s="1" t="str">
        <f>"T031"</f>
        <v>T031</v>
      </c>
      <c r="N1012" s="1" t="str">
        <f t="shared" si="322"/>
        <v>Y</v>
      </c>
      <c r="O1012" s="1" t="str">
        <f t="shared" si="319"/>
        <v>Y</v>
      </c>
      <c r="P1012" s="1" t="str">
        <f t="shared" si="316"/>
        <v>Y</v>
      </c>
      <c r="Q1012" s="1" t="str">
        <f t="shared" si="323"/>
        <v>A</v>
      </c>
    </row>
    <row r="1013" spans="1:17" x14ac:dyDescent="0.3">
      <c r="A1013" s="1" t="str">
        <f t="shared" si="324"/>
        <v>CN</v>
      </c>
      <c r="B1013" s="1" t="str">
        <f>"HPTLT4CN"</f>
        <v>HPTLT4CN</v>
      </c>
      <c r="C1013" s="1" t="str">
        <f>"고혈압 주의"</f>
        <v>고혈압 주의</v>
      </c>
      <c r="D1013" s="1" t="s">
        <v>337</v>
      </c>
      <c r="E1013" s="1" t="str">
        <f t="shared" si="325"/>
        <v>WOK02</v>
      </c>
      <c r="F1013" s="1" t="str">
        <f>"PTM03"</f>
        <v>PTM03</v>
      </c>
      <c r="G1013" s="1" t="str">
        <f t="shared" si="329"/>
        <v>DIS600</v>
      </c>
      <c r="H1013" s="1" t="str">
        <f>"REL06"</f>
        <v>REL06</v>
      </c>
      <c r="I1013" s="1" t="str">
        <f>""</f>
        <v/>
      </c>
      <c r="J1013" s="1" t="str">
        <f t="shared" si="328"/>
        <v>N01C</v>
      </c>
      <c r="K1013" s="1" t="str">
        <f t="shared" si="328"/>
        <v>N01C</v>
      </c>
      <c r="L1013" s="1" t="str">
        <f t="shared" si="330"/>
        <v>R</v>
      </c>
      <c r="M1013" s="1" t="str">
        <f>"T031"</f>
        <v>T031</v>
      </c>
      <c r="N1013" s="1" t="str">
        <f t="shared" si="322"/>
        <v>Y</v>
      </c>
      <c r="O1013" s="1" t="str">
        <f t="shared" ref="O1013:O1044" si="331">"Y"</f>
        <v>Y</v>
      </c>
      <c r="P1013" s="1" t="str">
        <f t="shared" si="316"/>
        <v>Y</v>
      </c>
      <c r="Q1013" s="1" t="str">
        <f t="shared" si="323"/>
        <v>A</v>
      </c>
    </row>
    <row r="1014" spans="1:17" x14ac:dyDescent="0.3">
      <c r="A1014" s="1" t="str">
        <f t="shared" si="324"/>
        <v>CN</v>
      </c>
      <c r="B1014" s="1" t="str">
        <f>"IL01J0093N"</f>
        <v>IL01J0093N</v>
      </c>
      <c r="C1014" s="1" t="str">
        <f>"복부비만 (야간작업)"</f>
        <v>복부비만 (야간작업)</v>
      </c>
      <c r="D1014" s="1" t="str">
        <f>"복부비만은 심혈관계질환의 원인이 될 수 있습니다. 야간근무는 불규칙한 식생활 때문에 복부비만을 더 심하게 할 수 있습니다. 식이요법 및 운동을 통하여 체중을 감량하여 복부비만을 줄여보시기 바랍니다."</f>
        <v>복부비만은 심혈관계질환의 원인이 될 수 있습니다. 야간근무는 불규칙한 식생활 때문에 복부비만을 더 심하게 할 수 있습니다. 식이요법 및 운동을 통하여 체중을 감량하여 복부비만을 줄여보시기 바랍니다.</v>
      </c>
      <c r="E1014" s="1" t="str">
        <f t="shared" si="325"/>
        <v>WOK02</v>
      </c>
      <c r="F1014" s="1" t="str">
        <f>"PTM01"</f>
        <v>PTM01</v>
      </c>
      <c r="G1014" s="1" t="str">
        <f t="shared" si="329"/>
        <v>DIS600</v>
      </c>
      <c r="H1014" s="1" t="str">
        <f>"REL10"</f>
        <v>REL10</v>
      </c>
      <c r="I1014" s="1" t="str">
        <f>"P0601"</f>
        <v>P0601</v>
      </c>
      <c r="J1014" s="1" t="str">
        <f t="shared" si="328"/>
        <v>N01C</v>
      </c>
      <c r="K1014" s="1" t="str">
        <f t="shared" si="328"/>
        <v>N01C</v>
      </c>
      <c r="L1014" s="1" t="str">
        <f t="shared" si="330"/>
        <v>R</v>
      </c>
      <c r="M1014" s="1" t="str">
        <f>"T031"</f>
        <v>T031</v>
      </c>
      <c r="N1014" s="1" t="str">
        <f t="shared" si="322"/>
        <v>Y</v>
      </c>
      <c r="O1014" s="1" t="str">
        <f t="shared" si="331"/>
        <v>Y</v>
      </c>
      <c r="P1014" s="1" t="str">
        <f t="shared" si="316"/>
        <v>Y</v>
      </c>
      <c r="Q1014" s="1" t="str">
        <f t="shared" si="323"/>
        <v>A</v>
      </c>
    </row>
    <row r="1015" spans="1:17" x14ac:dyDescent="0.3">
      <c r="A1015" s="1" t="str">
        <f t="shared" si="324"/>
        <v>CN</v>
      </c>
      <c r="B1015" s="1" t="str">
        <f>"LIP403CN"</f>
        <v>LIP403CN</v>
      </c>
      <c r="C1015" s="1" t="str">
        <f>"이상지질혈증(낮은 HDL-콜레스테롤) 주의"</f>
        <v>이상지질혈증(낮은 HDL-콜레스테롤) 주의</v>
      </c>
      <c r="D1015" s="1" t="str">
        <f>"좋은 콜레스테롤로 알려진 HDL콜레스테롤 수치가 낮습니다. 야간작업은 심혈관계 질환에 악영향을 미치기에 더욱 철저한 관리가 필요합니다. HDL콜레스테롤을 높이기 위해 운동 및 식이요법을 권장합니다."</f>
        <v>좋은 콜레스테롤로 알려진 HDL콜레스테롤 수치가 낮습니다. 야간작업은 심혈관계 질환에 악영향을 미치기에 더욱 철저한 관리가 필요합니다. HDL콜레스테롤을 높이기 위해 운동 및 식이요법을 권장합니다.</v>
      </c>
      <c r="E1015" s="1" t="str">
        <f t="shared" si="325"/>
        <v>WOK02</v>
      </c>
      <c r="F1015" s="1" t="str">
        <f>"PTM01"</f>
        <v>PTM01</v>
      </c>
      <c r="G1015" s="1" t="str">
        <f t="shared" si="329"/>
        <v>DIS600</v>
      </c>
      <c r="H1015" s="1" t="str">
        <f>"REL04"</f>
        <v>REL04</v>
      </c>
      <c r="I1015" s="1" t="str">
        <f>""</f>
        <v/>
      </c>
      <c r="J1015" s="1" t="str">
        <f t="shared" si="328"/>
        <v>N01C</v>
      </c>
      <c r="K1015" s="1" t="str">
        <f t="shared" si="328"/>
        <v>N01C</v>
      </c>
      <c r="L1015" s="1" t="str">
        <f t="shared" si="330"/>
        <v>R</v>
      </c>
      <c r="M1015" s="1" t="str">
        <f>"T031"</f>
        <v>T031</v>
      </c>
      <c r="N1015" s="1" t="str">
        <f t="shared" si="322"/>
        <v>Y</v>
      </c>
      <c r="O1015" s="1" t="str">
        <f t="shared" si="331"/>
        <v>Y</v>
      </c>
      <c r="P1015" s="1" t="str">
        <f t="shared" si="316"/>
        <v>Y</v>
      </c>
      <c r="Q1015" s="1" t="str">
        <f t="shared" si="323"/>
        <v>A</v>
      </c>
    </row>
    <row r="1016" spans="1:17" x14ac:dyDescent="0.3">
      <c r="A1016" s="1" t="str">
        <f t="shared" si="324"/>
        <v>CN</v>
      </c>
      <c r="B1016" s="1" t="str">
        <f>"LIPLT8CN"</f>
        <v>LIPLT8CN</v>
      </c>
      <c r="C1016" s="1" t="str">
        <f>"이상지질혈증 주의"</f>
        <v>이상지질혈증 주의</v>
      </c>
      <c r="D1016" s="1" t="str">
        <f>"혈중 콜레스테롤이 정상범위보다 높습니다. 야간작업은 불규칙한 식생활 때문에 심혈관계에 영향을 미칠 수 있으니 더욱 신경쓰셔야 합니다. 저지방식이와 유산소운동 등의 생활습관 개선이 필요합니다."</f>
        <v>혈중 콜레스테롤이 정상범위보다 높습니다. 야간작업은 불규칙한 식생활 때문에 심혈관계에 영향을 미칠 수 있으니 더욱 신경쓰셔야 합니다. 저지방식이와 유산소운동 등의 생활습관 개선이 필요합니다.</v>
      </c>
      <c r="E1016" s="1" t="str">
        <f t="shared" si="325"/>
        <v>WOK02</v>
      </c>
      <c r="F1016" s="1" t="str">
        <f>"PTM01"</f>
        <v>PTM01</v>
      </c>
      <c r="G1016" s="1" t="str">
        <f t="shared" si="329"/>
        <v>DIS600</v>
      </c>
      <c r="H1016" s="1" t="str">
        <f>"REL04"</f>
        <v>REL04</v>
      </c>
      <c r="I1016" s="1" t="str">
        <f>""</f>
        <v/>
      </c>
      <c r="J1016" s="1" t="str">
        <f t="shared" si="328"/>
        <v>N01C</v>
      </c>
      <c r="K1016" s="1" t="str">
        <f t="shared" si="328"/>
        <v>N01C</v>
      </c>
      <c r="L1016" s="1" t="str">
        <f t="shared" si="330"/>
        <v>R</v>
      </c>
      <c r="M1016" s="1" t="str">
        <f>"T031"</f>
        <v>T031</v>
      </c>
      <c r="N1016" s="1" t="str">
        <f t="shared" si="322"/>
        <v>Y</v>
      </c>
      <c r="O1016" s="1" t="str">
        <f t="shared" si="331"/>
        <v>Y</v>
      </c>
      <c r="P1016" s="1" t="str">
        <f t="shared" si="316"/>
        <v>Y</v>
      </c>
      <c r="Q1016" s="1" t="str">
        <f t="shared" si="323"/>
        <v>A</v>
      </c>
    </row>
    <row r="1017" spans="1:17" x14ac:dyDescent="0.3">
      <c r="A1017" s="1" t="str">
        <f t="shared" si="324"/>
        <v>CN</v>
      </c>
      <c r="B1017" s="1" t="str">
        <f>"NJ0519"</f>
        <v>NJ0519</v>
      </c>
      <c r="C1017" s="1" t="str">
        <f>"주간졸림증"</f>
        <v>주간졸림증</v>
      </c>
      <c r="D1017" s="1" t="s">
        <v>338</v>
      </c>
      <c r="E1017" s="1" t="str">
        <f t="shared" si="325"/>
        <v>WOK02</v>
      </c>
      <c r="F1017" s="1" t="str">
        <f>"PTM03"</f>
        <v>PTM03</v>
      </c>
      <c r="G1017" s="1" t="str">
        <f t="shared" si="329"/>
        <v>DIS600</v>
      </c>
      <c r="H1017" s="1" t="str">
        <f>"REL21"</f>
        <v>REL21</v>
      </c>
      <c r="I1017" s="1" t="str">
        <f>"P0601"</f>
        <v>P0601</v>
      </c>
      <c r="J1017" s="1" t="str">
        <f>"N03C"</f>
        <v>N03C</v>
      </c>
      <c r="K1017" s="1" t="str">
        <f>"N03C"</f>
        <v>N03C</v>
      </c>
      <c r="L1017" s="1" t="str">
        <f t="shared" si="330"/>
        <v>R</v>
      </c>
      <c r="M1017" s="1" t="str">
        <f>"T061"</f>
        <v>T061</v>
      </c>
      <c r="N1017" s="1" t="str">
        <f t="shared" si="322"/>
        <v>Y</v>
      </c>
      <c r="O1017" s="1" t="str">
        <f t="shared" si="331"/>
        <v>Y</v>
      </c>
      <c r="P1017" s="1" t="str">
        <f t="shared" si="316"/>
        <v>Y</v>
      </c>
      <c r="Q1017" s="1" t="str">
        <f t="shared" si="323"/>
        <v>A</v>
      </c>
    </row>
    <row r="1018" spans="1:17" x14ac:dyDescent="0.3">
      <c r="A1018" s="1" t="str">
        <f t="shared" si="324"/>
        <v>CN</v>
      </c>
      <c r="B1018" s="1" t="str">
        <f>"NJ0529"</f>
        <v>NJ0529</v>
      </c>
      <c r="C1018" s="1" t="str">
        <f>"위장관질환 주의(야간작업)"</f>
        <v>위장관질환 주의(야간작업)</v>
      </c>
      <c r="D1018" s="1" t="str">
        <f>"야간작업을 하면 음식물을 불규칙하게 섭취하여 소화불량 등 위장장해가 나타날 수 있습니다. 야간작업을 할 때는 과식이나 기름진 음식은 피하고 가볍게 식사를 하는 것이 좋습니다."</f>
        <v>야간작업을 하면 음식물을 불규칙하게 섭취하여 소화불량 등 위장장해가 나타날 수 있습니다. 야간작업을 할 때는 과식이나 기름진 음식은 피하고 가볍게 식사를 하는 것이 좋습니다.</v>
      </c>
      <c r="E1018" s="1" t="str">
        <f t="shared" si="325"/>
        <v>WOK02</v>
      </c>
      <c r="F1018" s="1" t="str">
        <f>"PTM01"</f>
        <v>PTM01</v>
      </c>
      <c r="G1018" s="1" t="str">
        <f t="shared" si="329"/>
        <v>DIS600</v>
      </c>
      <c r="H1018" s="1" t="str">
        <f>"REL37"</f>
        <v>REL37</v>
      </c>
      <c r="I1018" s="1" t="str">
        <f>"P0601"</f>
        <v>P0601</v>
      </c>
      <c r="J1018" s="1" t="str">
        <f>"N01C"</f>
        <v>N01C</v>
      </c>
      <c r="K1018" s="1" t="str">
        <f>"N01C"</f>
        <v>N01C</v>
      </c>
      <c r="L1018" s="1" t="str">
        <f t="shared" si="330"/>
        <v>R</v>
      </c>
      <c r="M1018" s="1" t="str">
        <f>"T201"</f>
        <v>T201</v>
      </c>
      <c r="N1018" s="1" t="str">
        <f t="shared" si="322"/>
        <v>Y</v>
      </c>
      <c r="O1018" s="1" t="str">
        <f t="shared" si="331"/>
        <v>Y</v>
      </c>
      <c r="P1018" s="1" t="str">
        <f t="shared" si="316"/>
        <v>Y</v>
      </c>
      <c r="Q1018" s="1" t="str">
        <f t="shared" si="323"/>
        <v>A</v>
      </c>
    </row>
    <row r="1019" spans="1:17" x14ac:dyDescent="0.3">
      <c r="A1019" s="1" t="str">
        <f t="shared" si="324"/>
        <v>CN</v>
      </c>
      <c r="B1019" s="1" t="str">
        <f>"NJ0530"</f>
        <v>NJ0530</v>
      </c>
      <c r="C1019" s="1" t="str">
        <f>"내분비계질환주의(야간작업)"</f>
        <v>내분비계질환주의(야간작업)</v>
      </c>
      <c r="D1019" s="1" t="str">
        <f>"십수 년 이상 야간근무를 하면 호르몬의 변화로 유방질환이 생길 수 있습니다. 자가진찰로 이상 소견이 있으면 유방초음파나 조영술을 받거나 외과 진료를 받으십시요."</f>
        <v>십수 년 이상 야간근무를 하면 호르몬의 변화로 유방질환이 생길 수 있습니다. 자가진찰로 이상 소견이 있으면 유방초음파나 조영술을 받거나 외과 진료를 받으십시요.</v>
      </c>
      <c r="E1019" s="1" t="str">
        <f t="shared" si="325"/>
        <v>WOK02</v>
      </c>
      <c r="F1019" s="1" t="str">
        <f>""</f>
        <v/>
      </c>
      <c r="G1019" s="1" t="str">
        <f t="shared" si="329"/>
        <v>DIS600</v>
      </c>
      <c r="H1019" s="1" t="str">
        <f>"REL23"</f>
        <v>REL23</v>
      </c>
      <c r="I1019" s="1" t="str">
        <f>""</f>
        <v/>
      </c>
      <c r="J1019" s="1" t="str">
        <f>"N01C"</f>
        <v>N01C</v>
      </c>
      <c r="K1019" s="1" t="str">
        <f>"N01C"</f>
        <v>N01C</v>
      </c>
      <c r="L1019" s="1" t="str">
        <f t="shared" si="330"/>
        <v>R</v>
      </c>
      <c r="M1019" s="1" t="str">
        <f>"T211"</f>
        <v>T211</v>
      </c>
      <c r="N1019" s="1" t="str">
        <f t="shared" si="322"/>
        <v>Y</v>
      </c>
      <c r="O1019" s="1" t="str">
        <f t="shared" si="331"/>
        <v>Y</v>
      </c>
      <c r="P1019" s="1" t="str">
        <f t="shared" si="316"/>
        <v>Y</v>
      </c>
      <c r="Q1019" s="1" t="str">
        <f t="shared" si="323"/>
        <v>A</v>
      </c>
    </row>
    <row r="1020" spans="1:17" x14ac:dyDescent="0.3">
      <c r="A1020" s="1" t="str">
        <f t="shared" si="324"/>
        <v>CN</v>
      </c>
      <c r="B1020" s="1" t="str">
        <f>"NJ0535"</f>
        <v>NJ0535</v>
      </c>
      <c r="C1020" s="1" t="str">
        <f>"수면장애 불면증주의(야간작업)"</f>
        <v>수면장애 불면증주의(야간작업)</v>
      </c>
      <c r="D1020" s="1" t="s">
        <v>339</v>
      </c>
      <c r="E1020" s="1" t="str">
        <f t="shared" si="325"/>
        <v>WOK02</v>
      </c>
      <c r="F1020" s="1" t="str">
        <f>"PTM01"</f>
        <v>PTM01</v>
      </c>
      <c r="G1020" s="1" t="str">
        <f t="shared" si="329"/>
        <v>DIS600</v>
      </c>
      <c r="H1020" s="1" t="str">
        <f>"REL21"</f>
        <v>REL21</v>
      </c>
      <c r="I1020" s="1" t="str">
        <f>"P0601"</f>
        <v>P0601</v>
      </c>
      <c r="J1020" s="1" t="str">
        <f>"N03C"</f>
        <v>N03C</v>
      </c>
      <c r="K1020" s="1" t="str">
        <f>"N03C"</f>
        <v>N03C</v>
      </c>
      <c r="L1020" s="1" t="str">
        <f t="shared" si="330"/>
        <v>R</v>
      </c>
      <c r="M1020" s="1" t="str">
        <f>"T061"</f>
        <v>T061</v>
      </c>
      <c r="N1020" s="1" t="str">
        <f t="shared" si="322"/>
        <v>Y</v>
      </c>
      <c r="O1020" s="1" t="str">
        <f t="shared" si="331"/>
        <v>Y</v>
      </c>
      <c r="P1020" s="1" t="str">
        <f t="shared" si="316"/>
        <v>Y</v>
      </c>
      <c r="Q1020" s="1" t="str">
        <f t="shared" si="323"/>
        <v>A</v>
      </c>
    </row>
    <row r="1021" spans="1:17" x14ac:dyDescent="0.3">
      <c r="A1021" s="1" t="str">
        <f t="shared" si="324"/>
        <v>CN</v>
      </c>
      <c r="B1021" s="1" t="str">
        <f>"PRE002"</f>
        <v>PRE002</v>
      </c>
      <c r="C1021" s="1" t="str">
        <f>"배치 가능 (야간작업)"</f>
        <v>배치 가능 (야간작업)</v>
      </c>
      <c r="D1021" s="1" t="s">
        <v>340</v>
      </c>
      <c r="E1021" s="1" t="str">
        <f t="shared" si="325"/>
        <v>WOK02</v>
      </c>
      <c r="F1021" s="1" t="str">
        <f>"PTM01"</f>
        <v>PTM01</v>
      </c>
      <c r="G1021" s="1" t="str">
        <f t="shared" si="329"/>
        <v>DIS600</v>
      </c>
      <c r="H1021" s="1" t="str">
        <f>"REL21"</f>
        <v>REL21</v>
      </c>
      <c r="I1021" s="1" t="str">
        <f>"P0601"</f>
        <v>P0601</v>
      </c>
      <c r="J1021" s="1" t="str">
        <f>"N03C"</f>
        <v>N03C</v>
      </c>
      <c r="K1021" s="1" t="str">
        <f>"N03C"</f>
        <v>N03C</v>
      </c>
      <c r="L1021" s="1" t="str">
        <f t="shared" si="330"/>
        <v>R</v>
      </c>
      <c r="M1021" s="1" t="str">
        <f>"T061"</f>
        <v>T061</v>
      </c>
      <c r="N1021" s="1" t="str">
        <f t="shared" si="322"/>
        <v>Y</v>
      </c>
      <c r="O1021" s="1" t="str">
        <f t="shared" si="331"/>
        <v>Y</v>
      </c>
      <c r="P1021" s="1" t="str">
        <f t="shared" si="316"/>
        <v>Y</v>
      </c>
      <c r="Q1021" s="1" t="str">
        <f t="shared" si="323"/>
        <v>A</v>
      </c>
    </row>
    <row r="1022" spans="1:17" x14ac:dyDescent="0.3">
      <c r="A1022" s="1" t="str">
        <f t="shared" si="324"/>
        <v>CN</v>
      </c>
      <c r="B1022" s="1" t="str">
        <f>"PRE008"</f>
        <v>PRE008</v>
      </c>
      <c r="C1022" s="1" t="str">
        <f>"배치 가능 (야간작업)"</f>
        <v>배치 가능 (야간작업)</v>
      </c>
      <c r="D1022" s="1" t="str">
        <f>"야간 작업은 심혈관계 질환에 영향을 미칠수 있으므로 고혈압과 복부비만을 잘 관리하시기 바랍니다."</f>
        <v>야간 작업은 심혈관계 질환에 영향을 미칠수 있으므로 고혈압과 복부비만을 잘 관리하시기 바랍니다.</v>
      </c>
      <c r="E1022" s="1" t="str">
        <f t="shared" si="325"/>
        <v>WOK02</v>
      </c>
      <c r="F1022" s="1" t="str">
        <f>"PTM01"</f>
        <v>PTM01</v>
      </c>
      <c r="G1022" s="1" t="str">
        <f t="shared" si="329"/>
        <v>DIS600</v>
      </c>
      <c r="H1022" s="1" t="str">
        <f>"REL06"</f>
        <v>REL06</v>
      </c>
      <c r="I1022" s="1" t="str">
        <f>"P0601"</f>
        <v>P0601</v>
      </c>
      <c r="J1022" s="1" t="str">
        <f>"N01C"</f>
        <v>N01C</v>
      </c>
      <c r="K1022" s="1" t="str">
        <f>"N01C"</f>
        <v>N01C</v>
      </c>
      <c r="L1022" s="1" t="str">
        <f t="shared" si="330"/>
        <v>R</v>
      </c>
      <c r="M1022" s="1" t="str">
        <f>"T031"</f>
        <v>T031</v>
      </c>
      <c r="N1022" s="1" t="str">
        <f t="shared" si="322"/>
        <v>Y</v>
      </c>
      <c r="O1022" s="1" t="str">
        <f t="shared" si="331"/>
        <v>Y</v>
      </c>
      <c r="P1022" s="1" t="str">
        <f t="shared" si="316"/>
        <v>Y</v>
      </c>
      <c r="Q1022" s="1" t="str">
        <f t="shared" si="323"/>
        <v>A</v>
      </c>
    </row>
    <row r="1023" spans="1:17" x14ac:dyDescent="0.3">
      <c r="A1023" s="1" t="str">
        <f t="shared" si="324"/>
        <v>CN</v>
      </c>
      <c r="B1023" s="1" t="str">
        <f>"PRE009"</f>
        <v>PRE009</v>
      </c>
      <c r="C1023" s="1" t="str">
        <f>"배치 가능 (야간작업)"</f>
        <v>배치 가능 (야간작업)</v>
      </c>
      <c r="D1023" s="1" t="s">
        <v>341</v>
      </c>
      <c r="E1023" s="1" t="str">
        <f t="shared" si="325"/>
        <v>WOK02</v>
      </c>
      <c r="F1023" s="1" t="str">
        <f>"PTM01"</f>
        <v>PTM01</v>
      </c>
      <c r="G1023" s="1" t="str">
        <f t="shared" si="329"/>
        <v>DIS600</v>
      </c>
      <c r="H1023" s="1" t="str">
        <f>"REL06"</f>
        <v>REL06</v>
      </c>
      <c r="I1023" s="1" t="str">
        <f>"P0601"</f>
        <v>P0601</v>
      </c>
      <c r="J1023" s="1" t="str">
        <f>"N01C"</f>
        <v>N01C</v>
      </c>
      <c r="K1023" s="1" t="str">
        <f>"N01C"</f>
        <v>N01C</v>
      </c>
      <c r="L1023" s="1" t="str">
        <f t="shared" si="330"/>
        <v>R</v>
      </c>
      <c r="M1023" s="1" t="str">
        <f>"T031"</f>
        <v>T031</v>
      </c>
      <c r="N1023" s="1" t="str">
        <f t="shared" si="322"/>
        <v>Y</v>
      </c>
      <c r="O1023" s="1" t="str">
        <f t="shared" si="331"/>
        <v>Y</v>
      </c>
      <c r="P1023" s="1" t="str">
        <f t="shared" si="316"/>
        <v>Y</v>
      </c>
      <c r="Q1023" s="1" t="str">
        <f t="shared" si="323"/>
        <v>A</v>
      </c>
    </row>
    <row r="1024" spans="1:17" x14ac:dyDescent="0.3">
      <c r="A1024" s="1" t="str">
        <f t="shared" ref="A1024:A1071" si="332">"D"</f>
        <v>D</v>
      </c>
      <c r="B1024" s="1" t="str">
        <f>"C487201"</f>
        <v>C487201</v>
      </c>
      <c r="C1024" s="1" t="str">
        <f>"C형간염 유질환"</f>
        <v>C형간염 유질환</v>
      </c>
      <c r="D1024" s="1" t="str">
        <f>"C형간염이 의심됩니다. 가까운 병/의원을 내원하여 진료를 받으십시오."</f>
        <v>C형간염이 의심됩니다. 가까운 병/의원을 내원하여 진료를 받으십시오.</v>
      </c>
      <c r="E1024" s="1" t="str">
        <f t="shared" si="325"/>
        <v>WOK02</v>
      </c>
      <c r="F1024" s="1" t="str">
        <f>"PTM04"</f>
        <v>PTM04</v>
      </c>
      <c r="G1024" s="1" t="str">
        <f>"DISB"</f>
        <v>DISB</v>
      </c>
      <c r="H1024" s="1" t="str">
        <f>"REL91"</f>
        <v>REL91</v>
      </c>
      <c r="I1024" s="1" t="str">
        <f>""</f>
        <v/>
      </c>
      <c r="J1024" s="1" t="str">
        <f>""</f>
        <v/>
      </c>
      <c r="K1024" s="1" t="str">
        <f>""</f>
        <v/>
      </c>
      <c r="L1024" s="1" t="str">
        <f t="shared" si="330"/>
        <v>R</v>
      </c>
      <c r="M1024" s="1" t="str">
        <f>"T02"</f>
        <v>T02</v>
      </c>
      <c r="N1024" s="1" t="str">
        <f t="shared" si="322"/>
        <v>Y</v>
      </c>
      <c r="O1024" s="1" t="str">
        <f t="shared" si="331"/>
        <v>Y</v>
      </c>
      <c r="P1024" s="1" t="str">
        <f t="shared" si="316"/>
        <v>Y</v>
      </c>
      <c r="Q1024" s="1" t="str">
        <f>"Y"</f>
        <v>Y</v>
      </c>
    </row>
    <row r="1025" spans="1:17" x14ac:dyDescent="0.3">
      <c r="A1025" s="1" t="str">
        <f t="shared" si="332"/>
        <v>D</v>
      </c>
      <c r="B1025" s="1" t="str">
        <f>"C487202"</f>
        <v>C487202</v>
      </c>
      <c r="C1025" s="1" t="str">
        <f>"C형간염 유질환(치료중)"</f>
        <v>C형간염 유질환(치료중)</v>
      </c>
      <c r="D1025" s="1" t="str">
        <f>"C형간염으로 진단받고 치료중이니 지속적으로 관리하십시오."</f>
        <v>C형간염으로 진단받고 치료중이니 지속적으로 관리하십시오.</v>
      </c>
      <c r="E1025" s="1" t="str">
        <f t="shared" si="325"/>
        <v>WOK02</v>
      </c>
      <c r="F1025" s="1" t="str">
        <f>"PTM01"</f>
        <v>PTM01</v>
      </c>
      <c r="G1025" s="1" t="str">
        <f>"DISB"</f>
        <v>DISB</v>
      </c>
      <c r="H1025" s="1" t="str">
        <f>"REL91"</f>
        <v>REL91</v>
      </c>
      <c r="I1025" s="1" t="str">
        <f>""</f>
        <v/>
      </c>
      <c r="J1025" s="1" t="str">
        <f>"C05D"</f>
        <v>C05D</v>
      </c>
      <c r="K1025" s="1" t="str">
        <f>"C01D"</f>
        <v>C01D</v>
      </c>
      <c r="L1025" s="1" t="str">
        <f t="shared" si="330"/>
        <v>R</v>
      </c>
      <c r="M1025" s="1" t="str">
        <f>"T02"</f>
        <v>T02</v>
      </c>
      <c r="N1025" s="1" t="str">
        <f t="shared" si="322"/>
        <v>Y</v>
      </c>
      <c r="O1025" s="1" t="str">
        <f t="shared" si="331"/>
        <v>Y</v>
      </c>
      <c r="P1025" s="1" t="str">
        <f t="shared" si="316"/>
        <v>Y</v>
      </c>
      <c r="Q1025" s="1" t="str">
        <f t="shared" ref="Q1025:Q1056" si="333">"A"</f>
        <v>A</v>
      </c>
    </row>
    <row r="1026" spans="1:17" x14ac:dyDescent="0.3">
      <c r="A1026" s="1" t="str">
        <f t="shared" si="332"/>
        <v>D</v>
      </c>
      <c r="B1026" s="1" t="str">
        <f>"CAPE01"</f>
        <v>CAPE01</v>
      </c>
      <c r="C1026" s="1" t="str">
        <f>"조기정신증 유질환"</f>
        <v>조기정신증 유질환</v>
      </c>
      <c r="D1026" s="1" t="str">
        <f>"조기정신증이 잘 관리되지 않고 있습니다. 가까운 병/의원을 내원하여 진료를 받으십시오."</f>
        <v>조기정신증이 잘 관리되지 않고 있습니다. 가까운 병/의원을 내원하여 진료를 받으십시오.</v>
      </c>
      <c r="E1026" s="1" t="str">
        <f t="shared" si="325"/>
        <v>WOK02</v>
      </c>
      <c r="F1026" s="1" t="str">
        <f>"PTM01"</f>
        <v>PTM01</v>
      </c>
      <c r="G1026" s="1" t="str">
        <f>"DISF"</f>
        <v>DISF</v>
      </c>
      <c r="H1026" s="1" t="str">
        <f>"REL90"</f>
        <v>REL90</v>
      </c>
      <c r="I1026" s="1" t="str">
        <f>""</f>
        <v/>
      </c>
      <c r="J1026" s="1" t="str">
        <f>""</f>
        <v/>
      </c>
      <c r="K1026" s="1" t="str">
        <f>""</f>
        <v/>
      </c>
      <c r="L1026" s="1" t="str">
        <f t="shared" si="330"/>
        <v>R</v>
      </c>
      <c r="M1026" s="1" t="str">
        <f>"T19"</f>
        <v>T19</v>
      </c>
      <c r="N1026" s="1" t="str">
        <f>"N"</f>
        <v>N</v>
      </c>
      <c r="O1026" s="1" t="str">
        <f t="shared" si="331"/>
        <v>Y</v>
      </c>
      <c r="P1026" s="1" t="str">
        <f t="shared" si="316"/>
        <v>Y</v>
      </c>
      <c r="Q1026" s="1" t="str">
        <f t="shared" si="333"/>
        <v>A</v>
      </c>
    </row>
    <row r="1027" spans="1:17" x14ac:dyDescent="0.3">
      <c r="A1027" s="1" t="str">
        <f t="shared" si="332"/>
        <v>D</v>
      </c>
      <c r="B1027" s="1" t="str">
        <f>"CAPE02"</f>
        <v>CAPE02</v>
      </c>
      <c r="C1027" s="1" t="str">
        <f>"조기정신증 유질환(치료중)"</f>
        <v>조기정신증 유질환(치료중)</v>
      </c>
      <c r="D1027" s="1" t="str">
        <f>"조기정신증이 잘 관리되고 있습니다. 지속적으로 관리하십시오."</f>
        <v>조기정신증이 잘 관리되고 있습니다. 지속적으로 관리하십시오.</v>
      </c>
      <c r="E1027" s="1" t="str">
        <f t="shared" si="325"/>
        <v>WOK02</v>
      </c>
      <c r="F1027" s="1" t="str">
        <f>"PTM01"</f>
        <v>PTM01</v>
      </c>
      <c r="G1027" s="1" t="str">
        <f>"DISF"</f>
        <v>DISF</v>
      </c>
      <c r="H1027" s="1" t="str">
        <f>"REL90"</f>
        <v>REL90</v>
      </c>
      <c r="I1027" s="1" t="str">
        <f>""</f>
        <v/>
      </c>
      <c r="J1027" s="1" t="str">
        <f>""</f>
        <v/>
      </c>
      <c r="K1027" s="1" t="str">
        <f>""</f>
        <v/>
      </c>
      <c r="L1027" s="1" t="str">
        <f t="shared" si="330"/>
        <v>R</v>
      </c>
      <c r="M1027" s="1" t="str">
        <f>"T19"</f>
        <v>T19</v>
      </c>
      <c r="N1027" s="1" t="str">
        <f>"N"</f>
        <v>N</v>
      </c>
      <c r="O1027" s="1" t="str">
        <f t="shared" si="331"/>
        <v>Y</v>
      </c>
      <c r="P1027" s="1" t="str">
        <f t="shared" si="316"/>
        <v>Y</v>
      </c>
      <c r="Q1027" s="1" t="str">
        <f t="shared" si="333"/>
        <v>A</v>
      </c>
    </row>
    <row r="1028" spans="1:17" x14ac:dyDescent="0.3">
      <c r="A1028" s="1" t="str">
        <f t="shared" si="332"/>
        <v>D</v>
      </c>
      <c r="B1028" s="1" t="str">
        <f>"DEPRESS4"</f>
        <v>DEPRESS4</v>
      </c>
      <c r="C1028" s="1" t="str">
        <f>"우울증 유질환자"</f>
        <v>우울증 유질환자</v>
      </c>
      <c r="D1028" s="1" t="str">
        <f>"우울증으로 진단 받고 치료중이니 지속적으로 관리하십시오."</f>
        <v>우울증으로 진단 받고 치료중이니 지속적으로 관리하십시오.</v>
      </c>
      <c r="E1028" s="1" t="str">
        <f t="shared" si="325"/>
        <v>WOK02</v>
      </c>
      <c r="F1028" s="1" t="str">
        <f>"PTM01"</f>
        <v>PTM01</v>
      </c>
      <c r="G1028" s="1" t="str">
        <f>"DISF"</f>
        <v>DISF</v>
      </c>
      <c r="H1028" s="1" t="str">
        <f>"REL21"</f>
        <v>REL21</v>
      </c>
      <c r="I1028" s="1" t="str">
        <f>""</f>
        <v/>
      </c>
      <c r="J1028" s="1" t="str">
        <f>"C37D"</f>
        <v>C37D</v>
      </c>
      <c r="K1028" s="1" t="str">
        <f>"C01D"</f>
        <v>C01D</v>
      </c>
      <c r="L1028" s="1" t="str">
        <f>"Q"</f>
        <v>Q</v>
      </c>
      <c r="M1028" s="1" t="str">
        <f>"T06"</f>
        <v>T06</v>
      </c>
      <c r="N1028" s="1" t="str">
        <f>"N"</f>
        <v>N</v>
      </c>
      <c r="O1028" s="1" t="str">
        <f t="shared" si="331"/>
        <v>Y</v>
      </c>
      <c r="P1028" s="1" t="str">
        <f t="shared" si="316"/>
        <v>Y</v>
      </c>
      <c r="Q1028" s="1" t="str">
        <f t="shared" si="333"/>
        <v>A</v>
      </c>
    </row>
    <row r="1029" spans="1:17" x14ac:dyDescent="0.3">
      <c r="A1029" s="1" t="str">
        <f t="shared" si="332"/>
        <v>D</v>
      </c>
      <c r="B1029" s="1" t="str">
        <f>"DMD302"</f>
        <v>DMD302</v>
      </c>
      <c r="C1029" s="1" t="str">
        <f>"당뇨병 유질환자"</f>
        <v>당뇨병 유질환자</v>
      </c>
      <c r="D1029" s="1" t="str">
        <f>"지속적인 혈당관리 및 당뇨치료가 필요합니다."</f>
        <v>지속적인 혈당관리 및 당뇨치료가 필요합니다.</v>
      </c>
      <c r="E1029" s="1" t="str">
        <f t="shared" ref="E1029:E1049" si="334">"WOK02"</f>
        <v>WOK02</v>
      </c>
      <c r="F1029" s="1" t="str">
        <f t="shared" ref="F1029:F1049" si="335">"PTM04"</f>
        <v>PTM04</v>
      </c>
      <c r="G1029" s="1" t="str">
        <f>"DISE"</f>
        <v>DISE</v>
      </c>
      <c r="H1029" s="1" t="str">
        <f>"REL07"</f>
        <v>REL07</v>
      </c>
      <c r="I1029" s="1" t="str">
        <f>""</f>
        <v/>
      </c>
      <c r="J1029" s="1" t="str">
        <f t="shared" ref="J1029:K1031" si="336">"C06D"</f>
        <v>C06D</v>
      </c>
      <c r="K1029" s="1" t="str">
        <f t="shared" si="336"/>
        <v>C06D</v>
      </c>
      <c r="L1029" s="1" t="str">
        <f t="shared" ref="L1029:L1092" si="337">"R"</f>
        <v>R</v>
      </c>
      <c r="M1029" s="1" t="str">
        <f t="shared" ref="M1029:M1046" si="338">"T03"</f>
        <v>T03</v>
      </c>
      <c r="N1029" s="1" t="str">
        <f t="shared" ref="N1029:N1092" si="339">"Y"</f>
        <v>Y</v>
      </c>
      <c r="O1029" s="1" t="str">
        <f t="shared" si="331"/>
        <v>Y</v>
      </c>
      <c r="P1029" s="1" t="str">
        <f t="shared" si="316"/>
        <v>Y</v>
      </c>
      <c r="Q1029" s="1" t="str">
        <f t="shared" si="333"/>
        <v>A</v>
      </c>
    </row>
    <row r="1030" spans="1:17" x14ac:dyDescent="0.3">
      <c r="A1030" s="1" t="str">
        <f t="shared" si="332"/>
        <v>D</v>
      </c>
      <c r="B1030" s="1" t="str">
        <f>"DMDLT3"</f>
        <v>DMDLT3</v>
      </c>
      <c r="C1030" s="1" t="str">
        <f>"당뇨병 치료중"</f>
        <v>당뇨병 치료중</v>
      </c>
      <c r="D1030" s="1" t="str">
        <f>"지속적인 관리 및 치료"</f>
        <v>지속적인 관리 및 치료</v>
      </c>
      <c r="E1030" s="1" t="str">
        <f t="shared" si="334"/>
        <v>WOK02</v>
      </c>
      <c r="F1030" s="1" t="str">
        <f t="shared" si="335"/>
        <v>PTM04</v>
      </c>
      <c r="G1030" s="1" t="str">
        <f>"DISE"</f>
        <v>DISE</v>
      </c>
      <c r="H1030" s="1" t="str">
        <f>"REL07"</f>
        <v>REL07</v>
      </c>
      <c r="I1030" s="1" t="str">
        <f>""</f>
        <v/>
      </c>
      <c r="J1030" s="1" t="str">
        <f t="shared" si="336"/>
        <v>C06D</v>
      </c>
      <c r="K1030" s="1" t="str">
        <f t="shared" si="336"/>
        <v>C06D</v>
      </c>
      <c r="L1030" s="1" t="str">
        <f t="shared" si="337"/>
        <v>R</v>
      </c>
      <c r="M1030" s="1" t="str">
        <f t="shared" si="338"/>
        <v>T03</v>
      </c>
      <c r="N1030" s="1" t="str">
        <f t="shared" si="339"/>
        <v>Y</v>
      </c>
      <c r="O1030" s="1" t="str">
        <f t="shared" si="331"/>
        <v>Y</v>
      </c>
      <c r="P1030" s="1" t="str">
        <f t="shared" si="316"/>
        <v>Y</v>
      </c>
      <c r="Q1030" s="1" t="str">
        <f t="shared" si="333"/>
        <v>A</v>
      </c>
    </row>
    <row r="1031" spans="1:17" x14ac:dyDescent="0.3">
      <c r="A1031" s="1" t="str">
        <f t="shared" si="332"/>
        <v>D</v>
      </c>
      <c r="B1031" s="1" t="str">
        <f>"DMDLT4"</f>
        <v>DMDLT4</v>
      </c>
      <c r="C1031" s="1" t="str">
        <f>"당뇨병"</f>
        <v>당뇨병</v>
      </c>
      <c r="D1031" s="1" t="str">
        <f>"당뇨병 검사 수치가 증가되어 있습니다. 당뇨병이 의심되므로 내분비내과 진료를 받으시기 바랍니다."</f>
        <v>당뇨병 검사 수치가 증가되어 있습니다. 당뇨병이 의심되므로 내분비내과 진료를 받으시기 바랍니다.</v>
      </c>
      <c r="E1031" s="1" t="str">
        <f t="shared" si="334"/>
        <v>WOK02</v>
      </c>
      <c r="F1031" s="1" t="str">
        <f t="shared" si="335"/>
        <v>PTM04</v>
      </c>
      <c r="G1031" s="1" t="str">
        <f>"DISE"</f>
        <v>DISE</v>
      </c>
      <c r="H1031" s="1" t="str">
        <f>"REL07"</f>
        <v>REL07</v>
      </c>
      <c r="I1031" s="1" t="str">
        <f>""</f>
        <v/>
      </c>
      <c r="J1031" s="1" t="str">
        <f t="shared" si="336"/>
        <v>C06D</v>
      </c>
      <c r="K1031" s="1" t="str">
        <f t="shared" si="336"/>
        <v>C06D</v>
      </c>
      <c r="L1031" s="1" t="str">
        <f t="shared" si="337"/>
        <v>R</v>
      </c>
      <c r="M1031" s="1" t="str">
        <f t="shared" si="338"/>
        <v>T03</v>
      </c>
      <c r="N1031" s="1" t="str">
        <f t="shared" si="339"/>
        <v>Y</v>
      </c>
      <c r="O1031" s="1" t="str">
        <f t="shared" si="331"/>
        <v>Y</v>
      </c>
      <c r="P1031" s="1" t="str">
        <f t="shared" si="316"/>
        <v>Y</v>
      </c>
      <c r="Q1031" s="1" t="str">
        <f t="shared" si="333"/>
        <v>A</v>
      </c>
    </row>
    <row r="1032" spans="1:17" x14ac:dyDescent="0.3">
      <c r="A1032" s="1" t="str">
        <f t="shared" si="332"/>
        <v>D</v>
      </c>
      <c r="B1032" s="1" t="str">
        <f>"GNBP0001"</f>
        <v>GNBP0001</v>
      </c>
      <c r="C1032" s="1" t="str">
        <f>"고혈압 유질환자(약물치료 하지 않음)"</f>
        <v>고혈압 유질환자(약물치료 하지 않음)</v>
      </c>
      <c r="D1032" s="1" t="str">
        <f>"고혈압에 대한 치료가 필요합니다. 정확한 진단과 치료를 위해 진료를 받으시기 바랍니다."</f>
        <v>고혈압에 대한 치료가 필요합니다. 정확한 진단과 치료를 위해 진료를 받으시기 바랍니다.</v>
      </c>
      <c r="E1032" s="1" t="str">
        <f t="shared" si="334"/>
        <v>WOK02</v>
      </c>
      <c r="F1032" s="1" t="str">
        <f t="shared" si="335"/>
        <v>PTM04</v>
      </c>
      <c r="G1032" s="1" t="str">
        <f>"DISI"</f>
        <v>DISI</v>
      </c>
      <c r="H1032" s="1" t="str">
        <f>"REL03"</f>
        <v>REL03</v>
      </c>
      <c r="I1032" s="1" t="str">
        <f>""</f>
        <v/>
      </c>
      <c r="J1032" s="1" t="str">
        <f t="shared" ref="J1032:K1035" si="340">"C03D"</f>
        <v>C03D</v>
      </c>
      <c r="K1032" s="1" t="str">
        <f t="shared" si="340"/>
        <v>C03D</v>
      </c>
      <c r="L1032" s="1" t="str">
        <f t="shared" si="337"/>
        <v>R</v>
      </c>
      <c r="M1032" s="1" t="str">
        <f t="shared" si="338"/>
        <v>T03</v>
      </c>
      <c r="N1032" s="1" t="str">
        <f t="shared" si="339"/>
        <v>Y</v>
      </c>
      <c r="O1032" s="1" t="str">
        <f t="shared" si="331"/>
        <v>Y</v>
      </c>
      <c r="P1032" s="1" t="str">
        <f t="shared" si="316"/>
        <v>Y</v>
      </c>
      <c r="Q1032" s="1" t="str">
        <f t="shared" si="333"/>
        <v>A</v>
      </c>
    </row>
    <row r="1033" spans="1:17" x14ac:dyDescent="0.3">
      <c r="A1033" s="1" t="str">
        <f t="shared" si="332"/>
        <v>D</v>
      </c>
      <c r="B1033" s="1" t="str">
        <f>"GNBP0002"</f>
        <v>GNBP0002</v>
      </c>
      <c r="C1033" s="1" t="str">
        <f>"고혈압 유질환자"</f>
        <v>고혈압 유질환자</v>
      </c>
      <c r="D1033" s="1" t="str">
        <f>"고혈압으로 진단 받고 치료중이니 지속적으로 관리하십시오."</f>
        <v>고혈압으로 진단 받고 치료중이니 지속적으로 관리하십시오.</v>
      </c>
      <c r="E1033" s="1" t="str">
        <f t="shared" si="334"/>
        <v>WOK02</v>
      </c>
      <c r="F1033" s="1" t="str">
        <f t="shared" si="335"/>
        <v>PTM04</v>
      </c>
      <c r="G1033" s="1" t="str">
        <f>"DISI"</f>
        <v>DISI</v>
      </c>
      <c r="H1033" s="1" t="str">
        <f>"REL03"</f>
        <v>REL03</v>
      </c>
      <c r="I1033" s="1" t="str">
        <f>""</f>
        <v/>
      </c>
      <c r="J1033" s="1" t="str">
        <f t="shared" si="340"/>
        <v>C03D</v>
      </c>
      <c r="K1033" s="1" t="str">
        <f t="shared" si="340"/>
        <v>C03D</v>
      </c>
      <c r="L1033" s="1" t="str">
        <f t="shared" si="337"/>
        <v>R</v>
      </c>
      <c r="M1033" s="1" t="str">
        <f t="shared" si="338"/>
        <v>T03</v>
      </c>
      <c r="N1033" s="1" t="str">
        <f t="shared" si="339"/>
        <v>Y</v>
      </c>
      <c r="O1033" s="1" t="str">
        <f t="shared" si="331"/>
        <v>Y</v>
      </c>
      <c r="P1033" s="1" t="str">
        <f t="shared" si="316"/>
        <v>Y</v>
      </c>
      <c r="Q1033" s="1" t="str">
        <f t="shared" si="333"/>
        <v>A</v>
      </c>
    </row>
    <row r="1034" spans="1:17" x14ac:dyDescent="0.3">
      <c r="A1034" s="1" t="str">
        <f t="shared" si="332"/>
        <v>D</v>
      </c>
      <c r="B1034" s="1" t="str">
        <f>"GNBP04"</f>
        <v>GNBP04</v>
      </c>
      <c r="C1034" s="1" t="str">
        <f>"고혈압 유질환자"</f>
        <v>고혈압 유질환자</v>
      </c>
      <c r="D1034" s="1" t="str">
        <f>"혈압이 잘 조절되고 있습니다. 지속적으로 관리하십시오."</f>
        <v>혈압이 잘 조절되고 있습니다. 지속적으로 관리하십시오.</v>
      </c>
      <c r="E1034" s="1" t="str">
        <f t="shared" si="334"/>
        <v>WOK02</v>
      </c>
      <c r="F1034" s="1" t="str">
        <f t="shared" si="335"/>
        <v>PTM04</v>
      </c>
      <c r="G1034" s="1" t="str">
        <f>"DISI"</f>
        <v>DISI</v>
      </c>
      <c r="H1034" s="1" t="str">
        <f>"REL03"</f>
        <v>REL03</v>
      </c>
      <c r="I1034" s="1" t="str">
        <f>""</f>
        <v/>
      </c>
      <c r="J1034" s="1" t="str">
        <f t="shared" si="340"/>
        <v>C03D</v>
      </c>
      <c r="K1034" s="1" t="str">
        <f t="shared" si="340"/>
        <v>C03D</v>
      </c>
      <c r="L1034" s="1" t="str">
        <f t="shared" si="337"/>
        <v>R</v>
      </c>
      <c r="M1034" s="1" t="str">
        <f t="shared" si="338"/>
        <v>T03</v>
      </c>
      <c r="N1034" s="1" t="str">
        <f t="shared" si="339"/>
        <v>Y</v>
      </c>
      <c r="O1034" s="1" t="str">
        <f t="shared" si="331"/>
        <v>Y</v>
      </c>
      <c r="P1034" s="1" t="str">
        <f t="shared" ref="P1034:P1097" si="341">"Y"</f>
        <v>Y</v>
      </c>
      <c r="Q1034" s="1" t="str">
        <f t="shared" si="333"/>
        <v>A</v>
      </c>
    </row>
    <row r="1035" spans="1:17" x14ac:dyDescent="0.3">
      <c r="A1035" s="1" t="str">
        <f t="shared" si="332"/>
        <v>D</v>
      </c>
      <c r="B1035" s="1" t="str">
        <f>"GNBP05"</f>
        <v>GNBP05</v>
      </c>
      <c r="C1035" s="1" t="str">
        <f>"고혈압 유질환자"</f>
        <v>고혈압 유질환자</v>
      </c>
      <c r="D1035" s="1" t="str">
        <f>"혈압이 잘 조절되지 않고 있습니다. 순환기내과 진료를 받으시기 바랍니다."</f>
        <v>혈압이 잘 조절되지 않고 있습니다. 순환기내과 진료를 받으시기 바랍니다.</v>
      </c>
      <c r="E1035" s="1" t="str">
        <f t="shared" si="334"/>
        <v>WOK02</v>
      </c>
      <c r="F1035" s="1" t="str">
        <f t="shared" si="335"/>
        <v>PTM04</v>
      </c>
      <c r="G1035" s="1" t="str">
        <f>"DISI"</f>
        <v>DISI</v>
      </c>
      <c r="H1035" s="1" t="str">
        <f>"REL03"</f>
        <v>REL03</v>
      </c>
      <c r="I1035" s="1" t="str">
        <f>""</f>
        <v/>
      </c>
      <c r="J1035" s="1" t="str">
        <f t="shared" si="340"/>
        <v>C03D</v>
      </c>
      <c r="K1035" s="1" t="str">
        <f t="shared" si="340"/>
        <v>C03D</v>
      </c>
      <c r="L1035" s="1" t="str">
        <f t="shared" si="337"/>
        <v>R</v>
      </c>
      <c r="M1035" s="1" t="str">
        <f t="shared" si="338"/>
        <v>T03</v>
      </c>
      <c r="N1035" s="1" t="str">
        <f t="shared" si="339"/>
        <v>Y</v>
      </c>
      <c r="O1035" s="1" t="str">
        <f t="shared" si="331"/>
        <v>Y</v>
      </c>
      <c r="P1035" s="1" t="str">
        <f t="shared" si="341"/>
        <v>Y</v>
      </c>
      <c r="Q1035" s="1" t="str">
        <f t="shared" si="333"/>
        <v>A</v>
      </c>
    </row>
    <row r="1036" spans="1:17" x14ac:dyDescent="0.3">
      <c r="A1036" s="1" t="str">
        <f t="shared" si="332"/>
        <v>D</v>
      </c>
      <c r="B1036" s="1" t="str">
        <f>"GNDM0001"</f>
        <v>GNDM0001</v>
      </c>
      <c r="C1036" s="1" t="str">
        <f>"당뇨병 유질환자(약물치료 하지 않음)"</f>
        <v>당뇨병 유질환자(약물치료 하지 않음)</v>
      </c>
      <c r="D1036" s="1" t="str">
        <f>"당뇨병에 대한 치료가 필요합니다. 정확한 진단과 치료를 위해 진료를 받으시기 바랍니다."</f>
        <v>당뇨병에 대한 치료가 필요합니다. 정확한 진단과 치료를 위해 진료를 받으시기 바랍니다.</v>
      </c>
      <c r="E1036" s="1" t="str">
        <f t="shared" si="334"/>
        <v>WOK02</v>
      </c>
      <c r="F1036" s="1" t="str">
        <f t="shared" si="335"/>
        <v>PTM04</v>
      </c>
      <c r="G1036" s="1" t="str">
        <f t="shared" ref="G1036:G1046" si="342">"DISE"</f>
        <v>DISE</v>
      </c>
      <c r="H1036" s="1" t="str">
        <f>"REL07"</f>
        <v>REL07</v>
      </c>
      <c r="I1036" s="1" t="str">
        <f>""</f>
        <v/>
      </c>
      <c r="J1036" s="1" t="str">
        <f t="shared" ref="J1036:K1039" si="343">"C06D"</f>
        <v>C06D</v>
      </c>
      <c r="K1036" s="1" t="str">
        <f t="shared" si="343"/>
        <v>C06D</v>
      </c>
      <c r="L1036" s="1" t="str">
        <f t="shared" si="337"/>
        <v>R</v>
      </c>
      <c r="M1036" s="1" t="str">
        <f t="shared" si="338"/>
        <v>T03</v>
      </c>
      <c r="N1036" s="1" t="str">
        <f t="shared" si="339"/>
        <v>Y</v>
      </c>
      <c r="O1036" s="1" t="str">
        <f t="shared" si="331"/>
        <v>Y</v>
      </c>
      <c r="P1036" s="1" t="str">
        <f t="shared" si="341"/>
        <v>Y</v>
      </c>
      <c r="Q1036" s="1" t="str">
        <f t="shared" si="333"/>
        <v>A</v>
      </c>
    </row>
    <row r="1037" spans="1:17" x14ac:dyDescent="0.3">
      <c r="A1037" s="1" t="str">
        <f t="shared" si="332"/>
        <v>D</v>
      </c>
      <c r="B1037" s="1" t="str">
        <f>"GNDM0002"</f>
        <v>GNDM0002</v>
      </c>
      <c r="C1037" s="1" t="str">
        <f>"당뇨병 유질환자"</f>
        <v>당뇨병 유질환자</v>
      </c>
      <c r="D1037" s="1" t="str">
        <f>"당뇨병으로 진단 받고 치료중이니 지속적으로 관리하십시오."</f>
        <v>당뇨병으로 진단 받고 치료중이니 지속적으로 관리하십시오.</v>
      </c>
      <c r="E1037" s="1" t="str">
        <f t="shared" si="334"/>
        <v>WOK02</v>
      </c>
      <c r="F1037" s="1" t="str">
        <f t="shared" si="335"/>
        <v>PTM04</v>
      </c>
      <c r="G1037" s="1" t="str">
        <f t="shared" si="342"/>
        <v>DISE</v>
      </c>
      <c r="H1037" s="1" t="str">
        <f>"REL07"</f>
        <v>REL07</v>
      </c>
      <c r="I1037" s="1" t="str">
        <f>""</f>
        <v/>
      </c>
      <c r="J1037" s="1" t="str">
        <f t="shared" si="343"/>
        <v>C06D</v>
      </c>
      <c r="K1037" s="1" t="str">
        <f t="shared" si="343"/>
        <v>C06D</v>
      </c>
      <c r="L1037" s="1" t="str">
        <f t="shared" si="337"/>
        <v>R</v>
      </c>
      <c r="M1037" s="1" t="str">
        <f t="shared" si="338"/>
        <v>T03</v>
      </c>
      <c r="N1037" s="1" t="str">
        <f t="shared" si="339"/>
        <v>Y</v>
      </c>
      <c r="O1037" s="1" t="str">
        <f t="shared" si="331"/>
        <v>Y</v>
      </c>
      <c r="P1037" s="1" t="str">
        <f t="shared" si="341"/>
        <v>Y</v>
      </c>
      <c r="Q1037" s="1" t="str">
        <f t="shared" si="333"/>
        <v>A</v>
      </c>
    </row>
    <row r="1038" spans="1:17" x14ac:dyDescent="0.3">
      <c r="A1038" s="1" t="str">
        <f t="shared" si="332"/>
        <v>D</v>
      </c>
      <c r="B1038" s="1" t="str">
        <f>"GNFBS04"</f>
        <v>GNFBS04</v>
      </c>
      <c r="C1038" s="1" t="str">
        <f>"당뇨병 유질환자"</f>
        <v>당뇨병 유질환자</v>
      </c>
      <c r="D1038" s="1" t="str">
        <f>"혈당이 잘 조절되고 있습니다. 지속적으로 관리하십시오."</f>
        <v>혈당이 잘 조절되고 있습니다. 지속적으로 관리하십시오.</v>
      </c>
      <c r="E1038" s="1" t="str">
        <f t="shared" si="334"/>
        <v>WOK02</v>
      </c>
      <c r="F1038" s="1" t="str">
        <f t="shared" si="335"/>
        <v>PTM04</v>
      </c>
      <c r="G1038" s="1" t="str">
        <f t="shared" si="342"/>
        <v>DISE</v>
      </c>
      <c r="H1038" s="1" t="str">
        <f>"REL07"</f>
        <v>REL07</v>
      </c>
      <c r="I1038" s="1" t="str">
        <f>""</f>
        <v/>
      </c>
      <c r="J1038" s="1" t="str">
        <f t="shared" si="343"/>
        <v>C06D</v>
      </c>
      <c r="K1038" s="1" t="str">
        <f t="shared" si="343"/>
        <v>C06D</v>
      </c>
      <c r="L1038" s="1" t="str">
        <f t="shared" si="337"/>
        <v>R</v>
      </c>
      <c r="M1038" s="1" t="str">
        <f t="shared" si="338"/>
        <v>T03</v>
      </c>
      <c r="N1038" s="1" t="str">
        <f t="shared" si="339"/>
        <v>Y</v>
      </c>
      <c r="O1038" s="1" t="str">
        <f t="shared" si="331"/>
        <v>Y</v>
      </c>
      <c r="P1038" s="1" t="str">
        <f t="shared" si="341"/>
        <v>Y</v>
      </c>
      <c r="Q1038" s="1" t="str">
        <f t="shared" si="333"/>
        <v>A</v>
      </c>
    </row>
    <row r="1039" spans="1:17" x14ac:dyDescent="0.3">
      <c r="A1039" s="1" t="str">
        <f t="shared" si="332"/>
        <v>D</v>
      </c>
      <c r="B1039" s="1" t="str">
        <f>"GNFBS05"</f>
        <v>GNFBS05</v>
      </c>
      <c r="C1039" s="1" t="str">
        <f>"당뇨병 유질환자"</f>
        <v>당뇨병 유질환자</v>
      </c>
      <c r="D1039" s="1" t="str">
        <f>"혈당이 잘 조절되지 않고 있습니다. 내분비내과 진료를 받으시기 바랍니다."</f>
        <v>혈당이 잘 조절되지 않고 있습니다. 내분비내과 진료를 받으시기 바랍니다.</v>
      </c>
      <c r="E1039" s="1" t="str">
        <f t="shared" si="334"/>
        <v>WOK02</v>
      </c>
      <c r="F1039" s="1" t="str">
        <f t="shared" si="335"/>
        <v>PTM04</v>
      </c>
      <c r="G1039" s="1" t="str">
        <f t="shared" si="342"/>
        <v>DISE</v>
      </c>
      <c r="H1039" s="1" t="str">
        <f>"REL07"</f>
        <v>REL07</v>
      </c>
      <c r="I1039" s="1" t="str">
        <f>""</f>
        <v/>
      </c>
      <c r="J1039" s="1" t="str">
        <f t="shared" si="343"/>
        <v>C06D</v>
      </c>
      <c r="K1039" s="1" t="str">
        <f t="shared" si="343"/>
        <v>C06D</v>
      </c>
      <c r="L1039" s="1" t="str">
        <f t="shared" si="337"/>
        <v>R</v>
      </c>
      <c r="M1039" s="1" t="str">
        <f t="shared" si="338"/>
        <v>T03</v>
      </c>
      <c r="N1039" s="1" t="str">
        <f t="shared" si="339"/>
        <v>Y</v>
      </c>
      <c r="O1039" s="1" t="str">
        <f t="shared" si="331"/>
        <v>Y</v>
      </c>
      <c r="P1039" s="1" t="str">
        <f t="shared" si="341"/>
        <v>Y</v>
      </c>
      <c r="Q1039" s="1" t="str">
        <f t="shared" si="333"/>
        <v>A</v>
      </c>
    </row>
    <row r="1040" spans="1:17" x14ac:dyDescent="0.3">
      <c r="A1040" s="1" t="str">
        <f t="shared" si="332"/>
        <v>D</v>
      </c>
      <c r="B1040" s="1" t="str">
        <f>"GNLDL03"</f>
        <v>GNLDL03</v>
      </c>
      <c r="C1040" s="1" t="str">
        <f>"(LDL 콜레스테롤) 이상지질혈증"</f>
        <v>(LDL 콜레스테롤) 이상지질혈증</v>
      </c>
      <c r="D1040" s="1" t="str">
        <f>"혈중지질검사에서 LDL 콜레스테롤 수치가 증가되어 있습니다. 내분비내과 진료를 받으시기 바랍니다."</f>
        <v>혈중지질검사에서 LDL 콜레스테롤 수치가 증가되어 있습니다. 내분비내과 진료를 받으시기 바랍니다.</v>
      </c>
      <c r="E1040" s="1" t="str">
        <f t="shared" si="334"/>
        <v>WOK02</v>
      </c>
      <c r="F1040" s="1" t="str">
        <f t="shared" si="335"/>
        <v>PTM04</v>
      </c>
      <c r="G1040" s="1" t="str">
        <f t="shared" si="342"/>
        <v>DISE</v>
      </c>
      <c r="H1040" s="1" t="str">
        <f t="shared" ref="H1040:H1046" si="344">"REL04"</f>
        <v>REL04</v>
      </c>
      <c r="I1040" s="1" t="str">
        <f>""</f>
        <v/>
      </c>
      <c r="J1040" s="1" t="str">
        <f t="shared" ref="J1040:K1042" si="345">"C04C"</f>
        <v>C04C</v>
      </c>
      <c r="K1040" s="1" t="str">
        <f t="shared" si="345"/>
        <v>C04C</v>
      </c>
      <c r="L1040" s="1" t="str">
        <f t="shared" si="337"/>
        <v>R</v>
      </c>
      <c r="M1040" s="1" t="str">
        <f t="shared" si="338"/>
        <v>T03</v>
      </c>
      <c r="N1040" s="1" t="str">
        <f t="shared" si="339"/>
        <v>Y</v>
      </c>
      <c r="O1040" s="1" t="str">
        <f t="shared" si="331"/>
        <v>Y</v>
      </c>
      <c r="P1040" s="1" t="str">
        <f t="shared" si="341"/>
        <v>Y</v>
      </c>
      <c r="Q1040" s="1" t="str">
        <f t="shared" si="333"/>
        <v>A</v>
      </c>
    </row>
    <row r="1041" spans="1:17" x14ac:dyDescent="0.3">
      <c r="A1041" s="1" t="str">
        <f t="shared" si="332"/>
        <v>D</v>
      </c>
      <c r="B1041" s="1" t="str">
        <f>"GNLIPID03"</f>
        <v>GNLIPID03</v>
      </c>
      <c r="C1041" s="1" t="str">
        <f>"이상지질혈증 유질환자"</f>
        <v>이상지질혈증 유질환자</v>
      </c>
      <c r="D1041" s="1" t="str">
        <f>"이상지질혈증이 잘 조절되고 있습니다. 지속적으로 관리하십시오."</f>
        <v>이상지질혈증이 잘 조절되고 있습니다. 지속적으로 관리하십시오.</v>
      </c>
      <c r="E1041" s="1" t="str">
        <f t="shared" si="334"/>
        <v>WOK02</v>
      </c>
      <c r="F1041" s="1" t="str">
        <f t="shared" si="335"/>
        <v>PTM04</v>
      </c>
      <c r="G1041" s="1" t="str">
        <f t="shared" si="342"/>
        <v>DISE</v>
      </c>
      <c r="H1041" s="1" t="str">
        <f t="shared" si="344"/>
        <v>REL04</v>
      </c>
      <c r="I1041" s="1" t="str">
        <f>""</f>
        <v/>
      </c>
      <c r="J1041" s="1" t="str">
        <f t="shared" si="345"/>
        <v>C04C</v>
      </c>
      <c r="K1041" s="1" t="str">
        <f t="shared" si="345"/>
        <v>C04C</v>
      </c>
      <c r="L1041" s="1" t="str">
        <f t="shared" si="337"/>
        <v>R</v>
      </c>
      <c r="M1041" s="1" t="str">
        <f t="shared" si="338"/>
        <v>T03</v>
      </c>
      <c r="N1041" s="1" t="str">
        <f t="shared" si="339"/>
        <v>Y</v>
      </c>
      <c r="O1041" s="1" t="str">
        <f t="shared" si="331"/>
        <v>Y</v>
      </c>
      <c r="P1041" s="1" t="str">
        <f t="shared" si="341"/>
        <v>Y</v>
      </c>
      <c r="Q1041" s="1" t="str">
        <f t="shared" si="333"/>
        <v>A</v>
      </c>
    </row>
    <row r="1042" spans="1:17" x14ac:dyDescent="0.3">
      <c r="A1042" s="1" t="str">
        <f t="shared" si="332"/>
        <v>D</v>
      </c>
      <c r="B1042" s="1" t="str">
        <f>"GNLIPID04"</f>
        <v>GNLIPID04</v>
      </c>
      <c r="C1042" s="1" t="str">
        <f>"이상지질혈증 유질환자"</f>
        <v>이상지질혈증 유질환자</v>
      </c>
      <c r="D1042" s="1" t="str">
        <f>"이상지질혈증이 잘 조절되지 않고 있습니다. 내분비내과 진료를 받으시기 바랍니다."</f>
        <v>이상지질혈증이 잘 조절되지 않고 있습니다. 내분비내과 진료를 받으시기 바랍니다.</v>
      </c>
      <c r="E1042" s="1" t="str">
        <f t="shared" si="334"/>
        <v>WOK02</v>
      </c>
      <c r="F1042" s="1" t="str">
        <f t="shared" si="335"/>
        <v>PTM04</v>
      </c>
      <c r="G1042" s="1" t="str">
        <f t="shared" si="342"/>
        <v>DISE</v>
      </c>
      <c r="H1042" s="1" t="str">
        <f t="shared" si="344"/>
        <v>REL04</v>
      </c>
      <c r="I1042" s="1" t="str">
        <f>""</f>
        <v/>
      </c>
      <c r="J1042" s="1" t="str">
        <f t="shared" si="345"/>
        <v>C04C</v>
      </c>
      <c r="K1042" s="1" t="str">
        <f t="shared" si="345"/>
        <v>C04C</v>
      </c>
      <c r="L1042" s="1" t="str">
        <f t="shared" si="337"/>
        <v>R</v>
      </c>
      <c r="M1042" s="1" t="str">
        <f t="shared" si="338"/>
        <v>T03</v>
      </c>
      <c r="N1042" s="1" t="str">
        <f t="shared" si="339"/>
        <v>Y</v>
      </c>
      <c r="O1042" s="1" t="str">
        <f t="shared" si="331"/>
        <v>Y</v>
      </c>
      <c r="P1042" s="1" t="str">
        <f t="shared" si="341"/>
        <v>Y</v>
      </c>
      <c r="Q1042" s="1" t="str">
        <f t="shared" si="333"/>
        <v>A</v>
      </c>
    </row>
    <row r="1043" spans="1:17" x14ac:dyDescent="0.3">
      <c r="A1043" s="1" t="str">
        <f t="shared" si="332"/>
        <v>D</v>
      </c>
      <c r="B1043" s="1" t="str">
        <f>"GNLIPID05"</f>
        <v>GNLIPID05</v>
      </c>
      <c r="C1043" s="1" t="str">
        <f>"이상지질혈증 유질환자"</f>
        <v>이상지질혈증 유질환자</v>
      </c>
      <c r="D1043" s="1" t="str">
        <f>"이상지질혈증으로 진단 받고 치료중이니 지속적으로 관리하십시오."</f>
        <v>이상지질혈증으로 진단 받고 치료중이니 지속적으로 관리하십시오.</v>
      </c>
      <c r="E1043" s="1" t="str">
        <f t="shared" si="334"/>
        <v>WOK02</v>
      </c>
      <c r="F1043" s="1" t="str">
        <f t="shared" si="335"/>
        <v>PTM04</v>
      </c>
      <c r="G1043" s="1" t="str">
        <f t="shared" si="342"/>
        <v>DISE</v>
      </c>
      <c r="H1043" s="1" t="str">
        <f t="shared" si="344"/>
        <v>REL04</v>
      </c>
      <c r="I1043" s="1" t="str">
        <f>""</f>
        <v/>
      </c>
      <c r="J1043" s="1" t="str">
        <f>"C04D"</f>
        <v>C04D</v>
      </c>
      <c r="K1043" s="1" t="str">
        <f>"C04D"</f>
        <v>C04D</v>
      </c>
      <c r="L1043" s="1" t="str">
        <f t="shared" si="337"/>
        <v>R</v>
      </c>
      <c r="M1043" s="1" t="str">
        <f t="shared" si="338"/>
        <v>T03</v>
      </c>
      <c r="N1043" s="1" t="str">
        <f t="shared" si="339"/>
        <v>Y</v>
      </c>
      <c r="O1043" s="1" t="str">
        <f t="shared" si="331"/>
        <v>Y</v>
      </c>
      <c r="P1043" s="1" t="str">
        <f t="shared" si="341"/>
        <v>Y</v>
      </c>
      <c r="Q1043" s="1" t="str">
        <f t="shared" si="333"/>
        <v>A</v>
      </c>
    </row>
    <row r="1044" spans="1:17" x14ac:dyDescent="0.3">
      <c r="A1044" s="1" t="str">
        <f t="shared" si="332"/>
        <v>D</v>
      </c>
      <c r="B1044" s="1" t="str">
        <f>"GNLIPID06"</f>
        <v>GNLIPID06</v>
      </c>
      <c r="C1044" s="1" t="str">
        <f>"이상지질혈증 유질환자(약물치료 하지 않음)"</f>
        <v>이상지질혈증 유질환자(약물치료 하지 않음)</v>
      </c>
      <c r="D1044" s="1" t="str">
        <f>"이상지질혈증에 대한 치료가 필요합니다. 정확한 진단과 치료를 위해 진료를 받으시기 바랍니다."</f>
        <v>이상지질혈증에 대한 치료가 필요합니다. 정확한 진단과 치료를 위해 진료를 받으시기 바랍니다.</v>
      </c>
      <c r="E1044" s="1" t="str">
        <f t="shared" si="334"/>
        <v>WOK02</v>
      </c>
      <c r="F1044" s="1" t="str">
        <f t="shared" si="335"/>
        <v>PTM04</v>
      </c>
      <c r="G1044" s="1" t="str">
        <f t="shared" si="342"/>
        <v>DISE</v>
      </c>
      <c r="H1044" s="1" t="str">
        <f t="shared" si="344"/>
        <v>REL04</v>
      </c>
      <c r="I1044" s="1" t="str">
        <f>""</f>
        <v/>
      </c>
      <c r="J1044" s="1" t="str">
        <f t="shared" ref="J1044:K1046" si="346">"C04C"</f>
        <v>C04C</v>
      </c>
      <c r="K1044" s="1" t="str">
        <f t="shared" si="346"/>
        <v>C04C</v>
      </c>
      <c r="L1044" s="1" t="str">
        <f t="shared" si="337"/>
        <v>R</v>
      </c>
      <c r="M1044" s="1" t="str">
        <f t="shared" si="338"/>
        <v>T03</v>
      </c>
      <c r="N1044" s="1" t="str">
        <f t="shared" si="339"/>
        <v>Y</v>
      </c>
      <c r="O1044" s="1" t="str">
        <f t="shared" si="331"/>
        <v>Y</v>
      </c>
      <c r="P1044" s="1" t="str">
        <f t="shared" si="341"/>
        <v>Y</v>
      </c>
      <c r="Q1044" s="1" t="str">
        <f t="shared" si="333"/>
        <v>A</v>
      </c>
    </row>
    <row r="1045" spans="1:17" x14ac:dyDescent="0.3">
      <c r="A1045" s="1" t="str">
        <f t="shared" si="332"/>
        <v>D</v>
      </c>
      <c r="B1045" s="1" t="str">
        <f>"GNTCH03"</f>
        <v>GNTCH03</v>
      </c>
      <c r="C1045" s="1" t="str">
        <f>"(총콜레스테롤) 이상지질혈증"</f>
        <v>(총콜레스테롤) 이상지질혈증</v>
      </c>
      <c r="D1045" s="1" t="str">
        <f>"혈중지질검사에서 총콜레스테롤 수치가 증가되어 있습니다. 내분비내과 진료를 받으시기 바랍니다."</f>
        <v>혈중지질검사에서 총콜레스테롤 수치가 증가되어 있습니다. 내분비내과 진료를 받으시기 바랍니다.</v>
      </c>
      <c r="E1045" s="1" t="str">
        <f t="shared" si="334"/>
        <v>WOK02</v>
      </c>
      <c r="F1045" s="1" t="str">
        <f t="shared" si="335"/>
        <v>PTM04</v>
      </c>
      <c r="G1045" s="1" t="str">
        <f t="shared" si="342"/>
        <v>DISE</v>
      </c>
      <c r="H1045" s="1" t="str">
        <f t="shared" si="344"/>
        <v>REL04</v>
      </c>
      <c r="I1045" s="1" t="str">
        <f>""</f>
        <v/>
      </c>
      <c r="J1045" s="1" t="str">
        <f t="shared" si="346"/>
        <v>C04C</v>
      </c>
      <c r="K1045" s="1" t="str">
        <f t="shared" si="346"/>
        <v>C04C</v>
      </c>
      <c r="L1045" s="1" t="str">
        <f t="shared" si="337"/>
        <v>R</v>
      </c>
      <c r="M1045" s="1" t="str">
        <f t="shared" si="338"/>
        <v>T03</v>
      </c>
      <c r="N1045" s="1" t="str">
        <f t="shared" si="339"/>
        <v>Y</v>
      </c>
      <c r="O1045" s="1" t="str">
        <f t="shared" ref="O1045:O1076" si="347">"Y"</f>
        <v>Y</v>
      </c>
      <c r="P1045" s="1" t="str">
        <f t="shared" si="341"/>
        <v>Y</v>
      </c>
      <c r="Q1045" s="1" t="str">
        <f t="shared" si="333"/>
        <v>A</v>
      </c>
    </row>
    <row r="1046" spans="1:17" x14ac:dyDescent="0.3">
      <c r="A1046" s="1" t="str">
        <f t="shared" si="332"/>
        <v>D</v>
      </c>
      <c r="B1046" s="1" t="str">
        <f>"GNTG03"</f>
        <v>GNTG03</v>
      </c>
      <c r="C1046" s="1" t="str">
        <f>"(중성지방) 이상지질혈증"</f>
        <v>(중성지방) 이상지질혈증</v>
      </c>
      <c r="D1046" s="1" t="str">
        <f>"혈중지질검사에서 중성지방 수치가 증가되어 있습니다. 내분비내과 진료를 받으시기 바랍니다."</f>
        <v>혈중지질검사에서 중성지방 수치가 증가되어 있습니다. 내분비내과 진료를 받으시기 바랍니다.</v>
      </c>
      <c r="E1046" s="1" t="str">
        <f t="shared" si="334"/>
        <v>WOK02</v>
      </c>
      <c r="F1046" s="1" t="str">
        <f t="shared" si="335"/>
        <v>PTM04</v>
      </c>
      <c r="G1046" s="1" t="str">
        <f t="shared" si="342"/>
        <v>DISE</v>
      </c>
      <c r="H1046" s="1" t="str">
        <f t="shared" si="344"/>
        <v>REL04</v>
      </c>
      <c r="I1046" s="1" t="str">
        <f>""</f>
        <v/>
      </c>
      <c r="J1046" s="1" t="str">
        <f t="shared" si="346"/>
        <v>C04C</v>
      </c>
      <c r="K1046" s="1" t="str">
        <f t="shared" si="346"/>
        <v>C04C</v>
      </c>
      <c r="L1046" s="1" t="str">
        <f t="shared" si="337"/>
        <v>R</v>
      </c>
      <c r="M1046" s="1" t="str">
        <f t="shared" si="338"/>
        <v>T03</v>
      </c>
      <c r="N1046" s="1" t="str">
        <f t="shared" si="339"/>
        <v>Y</v>
      </c>
      <c r="O1046" s="1" t="str">
        <f t="shared" si="347"/>
        <v>Y</v>
      </c>
      <c r="P1046" s="1" t="str">
        <f t="shared" si="341"/>
        <v>Y</v>
      </c>
      <c r="Q1046" s="1" t="str">
        <f t="shared" si="333"/>
        <v>A</v>
      </c>
    </row>
    <row r="1047" spans="1:17" x14ac:dyDescent="0.3">
      <c r="A1047" s="1" t="str">
        <f t="shared" si="332"/>
        <v>D</v>
      </c>
      <c r="B1047" s="1" t="str">
        <f>"HEP303B"</f>
        <v>HEP303B</v>
      </c>
      <c r="C1047" s="1" t="str">
        <f>"간 질환의심"</f>
        <v>간 질환의심</v>
      </c>
      <c r="D1047" s="1" t="str">
        <f>"간기능 이상이 의심됩니다. 정확한 진단과 치료를 위해 내원진료 하시기 바랍니다."</f>
        <v>간기능 이상이 의심됩니다. 정확한 진단과 치료를 위해 내원진료 하시기 바랍니다.</v>
      </c>
      <c r="E1047" s="1" t="str">
        <f t="shared" si="334"/>
        <v>WOK02</v>
      </c>
      <c r="F1047" s="1" t="str">
        <f t="shared" si="335"/>
        <v>PTM04</v>
      </c>
      <c r="G1047" s="1" t="str">
        <f>"DISK"</f>
        <v>DISK</v>
      </c>
      <c r="H1047" s="1" t="str">
        <f>"REL05"</f>
        <v>REL05</v>
      </c>
      <c r="I1047" s="1" t="str">
        <f>""</f>
        <v/>
      </c>
      <c r="J1047" s="1" t="str">
        <f>"C05D"</f>
        <v>C05D</v>
      </c>
      <c r="K1047" s="1" t="str">
        <f>"C05D"</f>
        <v>C05D</v>
      </c>
      <c r="L1047" s="1" t="str">
        <f t="shared" si="337"/>
        <v>R</v>
      </c>
      <c r="M1047" s="1" t="str">
        <f>"T02"</f>
        <v>T02</v>
      </c>
      <c r="N1047" s="1" t="str">
        <f t="shared" si="339"/>
        <v>Y</v>
      </c>
      <c r="O1047" s="1" t="str">
        <f t="shared" si="347"/>
        <v>Y</v>
      </c>
      <c r="P1047" s="1" t="str">
        <f t="shared" si="341"/>
        <v>Y</v>
      </c>
      <c r="Q1047" s="1" t="str">
        <f t="shared" si="333"/>
        <v>A</v>
      </c>
    </row>
    <row r="1048" spans="1:17" x14ac:dyDescent="0.3">
      <c r="A1048" s="1" t="str">
        <f t="shared" si="332"/>
        <v>D</v>
      </c>
      <c r="B1048" s="1" t="str">
        <f>"HEP303BB"</f>
        <v>HEP303BB</v>
      </c>
      <c r="C1048" s="1" t="str">
        <f>"간기능 이상"</f>
        <v>간기능 이상</v>
      </c>
      <c r="D1048" s="1" t="s">
        <v>342</v>
      </c>
      <c r="E1048" s="1" t="str">
        <f t="shared" si="334"/>
        <v>WOK02</v>
      </c>
      <c r="F1048" s="1" t="str">
        <f t="shared" si="335"/>
        <v>PTM04</v>
      </c>
      <c r="G1048" s="1" t="str">
        <f>"DISK"</f>
        <v>DISK</v>
      </c>
      <c r="H1048" s="1" t="str">
        <f>"REL05"</f>
        <v>REL05</v>
      </c>
      <c r="I1048" s="1" t="str">
        <f>""</f>
        <v/>
      </c>
      <c r="J1048" s="1" t="str">
        <f>""</f>
        <v/>
      </c>
      <c r="K1048" s="1" t="str">
        <f>""</f>
        <v/>
      </c>
      <c r="L1048" s="1" t="str">
        <f t="shared" si="337"/>
        <v>R</v>
      </c>
      <c r="M1048" s="1" t="str">
        <f>"T02"</f>
        <v>T02</v>
      </c>
      <c r="N1048" s="1" t="str">
        <f t="shared" si="339"/>
        <v>Y</v>
      </c>
      <c r="O1048" s="1" t="str">
        <f t="shared" si="347"/>
        <v>Y</v>
      </c>
      <c r="P1048" s="1" t="str">
        <f t="shared" si="341"/>
        <v>Y</v>
      </c>
      <c r="Q1048" s="1" t="str">
        <f t="shared" si="333"/>
        <v>A</v>
      </c>
    </row>
    <row r="1049" spans="1:17" x14ac:dyDescent="0.3">
      <c r="A1049" s="1" t="str">
        <f t="shared" si="332"/>
        <v>D</v>
      </c>
      <c r="B1049" s="1" t="str">
        <f>"HEPAB3"</f>
        <v>HEPAB3</v>
      </c>
      <c r="C1049" s="1" t="str">
        <f>"B형 간염 항원 양성"</f>
        <v>B형 간염 항원 양성</v>
      </c>
      <c r="D1049" s="1" t="str">
        <f>"B형 간염 항원이 있습니다. B형 간염 보균자로 의심됩니다. 소화기내과 진료 바랍니다."</f>
        <v>B형 간염 항원이 있습니다. B형 간염 보균자로 의심됩니다. 소화기내과 진료 바랍니다.</v>
      </c>
      <c r="E1049" s="1" t="str">
        <f t="shared" si="334"/>
        <v>WOK02</v>
      </c>
      <c r="F1049" s="1" t="str">
        <f t="shared" si="335"/>
        <v>PTM04</v>
      </c>
      <c r="G1049" s="1" t="str">
        <f>"DISB"</f>
        <v>DISB</v>
      </c>
      <c r="H1049" s="1" t="str">
        <f>"REL05"</f>
        <v>REL05</v>
      </c>
      <c r="I1049" s="1" t="str">
        <f>""</f>
        <v/>
      </c>
      <c r="J1049" s="1" t="str">
        <f>"C05D"</f>
        <v>C05D</v>
      </c>
      <c r="K1049" s="1" t="str">
        <f>"C05D"</f>
        <v>C05D</v>
      </c>
      <c r="L1049" s="1" t="str">
        <f t="shared" si="337"/>
        <v>R</v>
      </c>
      <c r="M1049" s="1" t="str">
        <f>"T02"</f>
        <v>T02</v>
      </c>
      <c r="N1049" s="1" t="str">
        <f t="shared" si="339"/>
        <v>Y</v>
      </c>
      <c r="O1049" s="1" t="str">
        <f t="shared" si="347"/>
        <v>Y</v>
      </c>
      <c r="P1049" s="1" t="str">
        <f t="shared" si="341"/>
        <v>Y</v>
      </c>
      <c r="Q1049" s="1" t="str">
        <f t="shared" si="333"/>
        <v>A</v>
      </c>
    </row>
    <row r="1050" spans="1:17" x14ac:dyDescent="0.3">
      <c r="A1050" s="1" t="str">
        <f t="shared" si="332"/>
        <v>D</v>
      </c>
      <c r="B1050" s="1" t="str">
        <f>"HPT201D"</f>
        <v>HPT201D</v>
      </c>
      <c r="C1050" s="1" t="str">
        <f>"고혈압의심"</f>
        <v>고혈압의심</v>
      </c>
      <c r="D1050" s="1" t="s">
        <v>343</v>
      </c>
      <c r="E1050" s="1" t="str">
        <f>""</f>
        <v/>
      </c>
      <c r="F1050" s="1" t="str">
        <f>"PTM00"</f>
        <v>PTM00</v>
      </c>
      <c r="G1050" s="1" t="str">
        <f>""</f>
        <v/>
      </c>
      <c r="H1050" s="1" t="str">
        <f>""</f>
        <v/>
      </c>
      <c r="I1050" s="1" t="str">
        <f>""</f>
        <v/>
      </c>
      <c r="J1050" s="1" t="str">
        <f>""</f>
        <v/>
      </c>
      <c r="K1050" s="1" t="str">
        <f>""</f>
        <v/>
      </c>
      <c r="L1050" s="1" t="str">
        <f t="shared" si="337"/>
        <v>R</v>
      </c>
      <c r="M1050" s="1" t="str">
        <f>""</f>
        <v/>
      </c>
      <c r="N1050" s="1" t="str">
        <f t="shared" si="339"/>
        <v>Y</v>
      </c>
      <c r="O1050" s="1" t="str">
        <f t="shared" si="347"/>
        <v>Y</v>
      </c>
      <c r="P1050" s="1" t="str">
        <f t="shared" si="341"/>
        <v>Y</v>
      </c>
      <c r="Q1050" s="1" t="str">
        <f t="shared" si="333"/>
        <v>A</v>
      </c>
    </row>
    <row r="1051" spans="1:17" x14ac:dyDescent="0.3">
      <c r="A1051" s="1" t="str">
        <f t="shared" si="332"/>
        <v>D</v>
      </c>
      <c r="B1051" s="1" t="str">
        <f>"HPT601"</f>
        <v>HPT601</v>
      </c>
      <c r="C1051" s="1" t="str">
        <f>"고혈압 유질환자"</f>
        <v>고혈압 유질환자</v>
      </c>
      <c r="D1051" s="1" t="str">
        <f>"혈압 조절이 잘 되지 않고 있습니다. 보다 철저한 혈압관리 및 치료를 받으세요."</f>
        <v>혈압 조절이 잘 되지 않고 있습니다. 보다 철저한 혈압관리 및 치료를 받으세요.</v>
      </c>
      <c r="E1051" s="1" t="str">
        <f>"WOK02"</f>
        <v>WOK02</v>
      </c>
      <c r="F1051" s="1" t="str">
        <f>"PTM04"</f>
        <v>PTM04</v>
      </c>
      <c r="G1051" s="1" t="str">
        <f>"DISI"</f>
        <v>DISI</v>
      </c>
      <c r="H1051" s="1" t="str">
        <f>"REL03"</f>
        <v>REL03</v>
      </c>
      <c r="I1051" s="1" t="str">
        <f>""</f>
        <v/>
      </c>
      <c r="J1051" s="1" t="str">
        <f>"C03D"</f>
        <v>C03D</v>
      </c>
      <c r="K1051" s="1" t="str">
        <f>"C03D"</f>
        <v>C03D</v>
      </c>
      <c r="L1051" s="1" t="str">
        <f t="shared" si="337"/>
        <v>R</v>
      </c>
      <c r="M1051" s="1" t="str">
        <f>"T03"</f>
        <v>T03</v>
      </c>
      <c r="N1051" s="1" t="str">
        <f t="shared" si="339"/>
        <v>Y</v>
      </c>
      <c r="O1051" s="1" t="str">
        <f t="shared" si="347"/>
        <v>Y</v>
      </c>
      <c r="P1051" s="1" t="str">
        <f t="shared" si="341"/>
        <v>Y</v>
      </c>
      <c r="Q1051" s="1" t="str">
        <f t="shared" si="333"/>
        <v>A</v>
      </c>
    </row>
    <row r="1052" spans="1:17" x14ac:dyDescent="0.3">
      <c r="A1052" s="1" t="str">
        <f t="shared" si="332"/>
        <v>D</v>
      </c>
      <c r="B1052" s="1" t="str">
        <f>"HPTLT6"</f>
        <v>HPTLT6</v>
      </c>
      <c r="C1052" s="1" t="str">
        <f>"고혈압 유질환자"</f>
        <v>고혈압 유질환자</v>
      </c>
      <c r="D1052" s="1" t="str">
        <f>"고혈압 치료가 약간 미흡한것으로 사료되오니 규칙적인 혈압조절이 필요합니다. 주기적인 혈압측정과 진료받으세요."</f>
        <v>고혈압 치료가 약간 미흡한것으로 사료되오니 규칙적인 혈압조절이 필요합니다. 주기적인 혈압측정과 진료받으세요.</v>
      </c>
      <c r="E1052" s="1" t="str">
        <f>"WOK02"</f>
        <v>WOK02</v>
      </c>
      <c r="F1052" s="1" t="str">
        <f>"PTM04"</f>
        <v>PTM04</v>
      </c>
      <c r="G1052" s="1" t="str">
        <f>"DISI"</f>
        <v>DISI</v>
      </c>
      <c r="H1052" s="1" t="str">
        <f>"REL03"</f>
        <v>REL03</v>
      </c>
      <c r="I1052" s="1" t="str">
        <f>""</f>
        <v/>
      </c>
      <c r="J1052" s="1" t="str">
        <f>"C03D"</f>
        <v>C03D</v>
      </c>
      <c r="K1052" s="1" t="str">
        <f>"C03D"</f>
        <v>C03D</v>
      </c>
      <c r="L1052" s="1" t="str">
        <f t="shared" si="337"/>
        <v>R</v>
      </c>
      <c r="M1052" s="1" t="str">
        <f>"T03"</f>
        <v>T03</v>
      </c>
      <c r="N1052" s="1" t="str">
        <f t="shared" si="339"/>
        <v>Y</v>
      </c>
      <c r="O1052" s="1" t="str">
        <f t="shared" si="347"/>
        <v>Y</v>
      </c>
      <c r="P1052" s="1" t="str">
        <f t="shared" si="341"/>
        <v>Y</v>
      </c>
      <c r="Q1052" s="1" t="str">
        <f t="shared" si="333"/>
        <v>A</v>
      </c>
    </row>
    <row r="1053" spans="1:17" x14ac:dyDescent="0.3">
      <c r="A1053" s="1" t="str">
        <f t="shared" si="332"/>
        <v>D</v>
      </c>
      <c r="B1053" s="1" t="str">
        <f>"HWLUNG04"</f>
        <v>HWLUNG04</v>
      </c>
      <c r="C1053" s="1" t="str">
        <f>"만성폐쇄성폐질환 유질환자(치료중)"</f>
        <v>만성폐쇄성폐질환 유질환자(치료중)</v>
      </c>
      <c r="D1053" s="1" t="str">
        <f>"만성폐쇄성폐질환을 진단받고 치료 중이니 지속적으로 관리하십시오."</f>
        <v>만성폐쇄성폐질환을 진단받고 치료 중이니 지속적으로 관리하십시오.</v>
      </c>
      <c r="E1053" s="1" t="str">
        <f>""</f>
        <v/>
      </c>
      <c r="F1053" s="1" t="str">
        <f>"PTM00"</f>
        <v>PTM00</v>
      </c>
      <c r="G1053" s="1" t="str">
        <f>"DISJ"</f>
        <v>DISJ</v>
      </c>
      <c r="H1053" s="1" t="str">
        <f>"REL92"</f>
        <v>REL92</v>
      </c>
      <c r="I1053" s="1" t="str">
        <f>""</f>
        <v/>
      </c>
      <c r="J1053" s="1" t="str">
        <f>""</f>
        <v/>
      </c>
      <c r="K1053" s="1" t="str">
        <f>""</f>
        <v/>
      </c>
      <c r="L1053" s="1" t="str">
        <f t="shared" si="337"/>
        <v>R</v>
      </c>
      <c r="M1053" s="1" t="str">
        <f>"T04"</f>
        <v>T04</v>
      </c>
      <c r="N1053" s="1" t="str">
        <f t="shared" si="339"/>
        <v>Y</v>
      </c>
      <c r="O1053" s="1" t="str">
        <f t="shared" si="347"/>
        <v>Y</v>
      </c>
      <c r="P1053" s="1" t="str">
        <f t="shared" si="341"/>
        <v>Y</v>
      </c>
      <c r="Q1053" s="1" t="str">
        <f t="shared" si="333"/>
        <v>A</v>
      </c>
    </row>
    <row r="1054" spans="1:17" x14ac:dyDescent="0.3">
      <c r="A1054" s="1" t="str">
        <f t="shared" si="332"/>
        <v>D</v>
      </c>
      <c r="B1054" s="1" t="str">
        <f>"HWLUNG05"</f>
        <v>HWLUNG05</v>
      </c>
      <c r="C1054" s="1" t="str">
        <f>"만성폐쇄성폐질환 유질환자"</f>
        <v>만성폐쇄성폐질환 유질환자</v>
      </c>
      <c r="D1054" s="1" t="s">
        <v>344</v>
      </c>
      <c r="E1054" s="1" t="str">
        <f>""</f>
        <v/>
      </c>
      <c r="F1054" s="1" t="str">
        <f>"PTM00"</f>
        <v>PTM00</v>
      </c>
      <c r="G1054" s="1" t="str">
        <f>"DISJ"</f>
        <v>DISJ</v>
      </c>
      <c r="H1054" s="1" t="str">
        <f>"REL92"</f>
        <v>REL92</v>
      </c>
      <c r="I1054" s="1" t="str">
        <f>""</f>
        <v/>
      </c>
      <c r="J1054" s="1" t="str">
        <f>""</f>
        <v/>
      </c>
      <c r="K1054" s="1" t="str">
        <f>""</f>
        <v/>
      </c>
      <c r="L1054" s="1" t="str">
        <f t="shared" si="337"/>
        <v>R</v>
      </c>
      <c r="M1054" s="1" t="str">
        <f>"T04"</f>
        <v>T04</v>
      </c>
      <c r="N1054" s="1" t="str">
        <f t="shared" si="339"/>
        <v>Y</v>
      </c>
      <c r="O1054" s="1" t="str">
        <f t="shared" si="347"/>
        <v>Y</v>
      </c>
      <c r="P1054" s="1" t="str">
        <f t="shared" si="341"/>
        <v>Y</v>
      </c>
      <c r="Q1054" s="1" t="str">
        <f t="shared" si="333"/>
        <v>A</v>
      </c>
    </row>
    <row r="1055" spans="1:17" x14ac:dyDescent="0.3">
      <c r="A1055" s="1" t="str">
        <f t="shared" si="332"/>
        <v>D</v>
      </c>
      <c r="B1055" s="1" t="str">
        <f>"IL01DMD202"</f>
        <v>IL01DMD202</v>
      </c>
      <c r="C1055" s="1" t="str">
        <f>"당뇨병 치료중"</f>
        <v>당뇨병 치료중</v>
      </c>
      <c r="D1055" s="1" t="str">
        <f>"혈당 조절이 잘 되지 않고 있습니다. 진료받는 의사와 상의하세요."</f>
        <v>혈당 조절이 잘 되지 않고 있습니다. 진료받는 의사와 상의하세요.</v>
      </c>
      <c r="E1055" s="1" t="str">
        <f t="shared" ref="E1055:E1071" si="348">"WOK02"</f>
        <v>WOK02</v>
      </c>
      <c r="F1055" s="1" t="str">
        <f t="shared" ref="F1055:F1071" si="349">"PTM04"</f>
        <v>PTM04</v>
      </c>
      <c r="G1055" s="1" t="str">
        <f>"DISE"</f>
        <v>DISE</v>
      </c>
      <c r="H1055" s="1" t="str">
        <f>"REL07"</f>
        <v>REL07</v>
      </c>
      <c r="I1055" s="1" t="str">
        <f>""</f>
        <v/>
      </c>
      <c r="J1055" s="1" t="str">
        <f t="shared" ref="J1055:K1057" si="350">"C06D"</f>
        <v>C06D</v>
      </c>
      <c r="K1055" s="1" t="str">
        <f t="shared" si="350"/>
        <v>C06D</v>
      </c>
      <c r="L1055" s="1" t="str">
        <f t="shared" si="337"/>
        <v>R</v>
      </c>
      <c r="M1055" s="1" t="str">
        <f t="shared" ref="M1055:M1066" si="351">"T03"</f>
        <v>T03</v>
      </c>
      <c r="N1055" s="1" t="str">
        <f t="shared" si="339"/>
        <v>Y</v>
      </c>
      <c r="O1055" s="1" t="str">
        <f t="shared" si="347"/>
        <v>Y</v>
      </c>
      <c r="P1055" s="1" t="str">
        <f t="shared" si="341"/>
        <v>Y</v>
      </c>
      <c r="Q1055" s="1" t="str">
        <f t="shared" si="333"/>
        <v>A</v>
      </c>
    </row>
    <row r="1056" spans="1:17" x14ac:dyDescent="0.3">
      <c r="A1056" s="1" t="str">
        <f t="shared" si="332"/>
        <v>D</v>
      </c>
      <c r="B1056" s="1" t="str">
        <f>"IL01DMD302"</f>
        <v>IL01DMD302</v>
      </c>
      <c r="C1056" s="1" t="str">
        <f>"당뇨병 유질환자"</f>
        <v>당뇨병 유질환자</v>
      </c>
      <c r="D1056" s="1" t="str">
        <f>"혈당 조절이 잘 되지 않고 있습니다. 진료받는 의사와 상의하십시오."</f>
        <v>혈당 조절이 잘 되지 않고 있습니다. 진료받는 의사와 상의하십시오.</v>
      </c>
      <c r="E1056" s="1" t="str">
        <f t="shared" si="348"/>
        <v>WOK02</v>
      </c>
      <c r="F1056" s="1" t="str">
        <f t="shared" si="349"/>
        <v>PTM04</v>
      </c>
      <c r="G1056" s="1" t="str">
        <f>"DISE"</f>
        <v>DISE</v>
      </c>
      <c r="H1056" s="1" t="str">
        <f>"REL07"</f>
        <v>REL07</v>
      </c>
      <c r="I1056" s="1" t="str">
        <f>""</f>
        <v/>
      </c>
      <c r="J1056" s="1" t="str">
        <f t="shared" si="350"/>
        <v>C06D</v>
      </c>
      <c r="K1056" s="1" t="str">
        <f t="shared" si="350"/>
        <v>C06D</v>
      </c>
      <c r="L1056" s="1" t="str">
        <f t="shared" si="337"/>
        <v>R</v>
      </c>
      <c r="M1056" s="1" t="str">
        <f t="shared" si="351"/>
        <v>T03</v>
      </c>
      <c r="N1056" s="1" t="str">
        <f t="shared" si="339"/>
        <v>Y</v>
      </c>
      <c r="O1056" s="1" t="str">
        <f t="shared" si="347"/>
        <v>Y</v>
      </c>
      <c r="P1056" s="1" t="str">
        <f t="shared" si="341"/>
        <v>Y</v>
      </c>
      <c r="Q1056" s="1" t="str">
        <f t="shared" si="333"/>
        <v>A</v>
      </c>
    </row>
    <row r="1057" spans="1:17" x14ac:dyDescent="0.3">
      <c r="A1057" s="1" t="str">
        <f t="shared" si="332"/>
        <v>D</v>
      </c>
      <c r="B1057" s="1" t="str">
        <f>"IL01DMDLT3"</f>
        <v>IL01DMDLT3</v>
      </c>
      <c r="C1057" s="1" t="str">
        <f>"당뇨병 유질환자"</f>
        <v>당뇨병 유질환자</v>
      </c>
      <c r="D1057" s="1" t="str">
        <f>"당뇨병이 잘 조절되고 있습니다. 지속적으로 관리하십시오."</f>
        <v>당뇨병이 잘 조절되고 있습니다. 지속적으로 관리하십시오.</v>
      </c>
      <c r="E1057" s="1" t="str">
        <f t="shared" si="348"/>
        <v>WOK02</v>
      </c>
      <c r="F1057" s="1" t="str">
        <f t="shared" si="349"/>
        <v>PTM04</v>
      </c>
      <c r="G1057" s="1" t="str">
        <f>"DISE"</f>
        <v>DISE</v>
      </c>
      <c r="H1057" s="1" t="str">
        <f>"REL07"</f>
        <v>REL07</v>
      </c>
      <c r="I1057" s="1" t="str">
        <f>""</f>
        <v/>
      </c>
      <c r="J1057" s="1" t="str">
        <f t="shared" si="350"/>
        <v>C06D</v>
      </c>
      <c r="K1057" s="1" t="str">
        <f t="shared" si="350"/>
        <v>C06D</v>
      </c>
      <c r="L1057" s="1" t="str">
        <f t="shared" si="337"/>
        <v>R</v>
      </c>
      <c r="M1057" s="1" t="str">
        <f t="shared" si="351"/>
        <v>T03</v>
      </c>
      <c r="N1057" s="1" t="str">
        <f t="shared" si="339"/>
        <v>Y</v>
      </c>
      <c r="O1057" s="1" t="str">
        <f t="shared" si="347"/>
        <v>Y</v>
      </c>
      <c r="P1057" s="1" t="str">
        <f t="shared" si="341"/>
        <v>Y</v>
      </c>
      <c r="Q1057" s="1" t="str">
        <f t="shared" ref="Q1057:Q1075" si="352">"A"</f>
        <v>A</v>
      </c>
    </row>
    <row r="1058" spans="1:17" x14ac:dyDescent="0.3">
      <c r="A1058" s="1" t="str">
        <f t="shared" si="332"/>
        <v>D</v>
      </c>
      <c r="B1058" s="1" t="str">
        <f>"IL01HPT601"</f>
        <v>IL01HPT601</v>
      </c>
      <c r="C1058" s="1" t="str">
        <f>"고혈압 유질환자"</f>
        <v>고혈압 유질환자</v>
      </c>
      <c r="D1058" s="1" t="str">
        <f>"혈압 조절이 잘 되지 않고 있습니다. 치료받고 있는 의사와 상담하세요. 치료를 받고 있지 않다면 즉시 의사의 진료를 받으십시요."</f>
        <v>혈압 조절이 잘 되지 않고 있습니다. 치료받고 있는 의사와 상담하세요. 치료를 받고 있지 않다면 즉시 의사의 진료를 받으십시요.</v>
      </c>
      <c r="E1058" s="1" t="str">
        <f t="shared" si="348"/>
        <v>WOK02</v>
      </c>
      <c r="F1058" s="1" t="str">
        <f t="shared" si="349"/>
        <v>PTM04</v>
      </c>
      <c r="G1058" s="1" t="str">
        <f>"DISI"</f>
        <v>DISI</v>
      </c>
      <c r="H1058" s="1" t="str">
        <f>"REL03"</f>
        <v>REL03</v>
      </c>
      <c r="I1058" s="1" t="str">
        <f>""</f>
        <v/>
      </c>
      <c r="J1058" s="1" t="str">
        <f t="shared" ref="J1058:K1060" si="353">"C03D"</f>
        <v>C03D</v>
      </c>
      <c r="K1058" s="1" t="str">
        <f t="shared" si="353"/>
        <v>C03D</v>
      </c>
      <c r="L1058" s="1" t="str">
        <f t="shared" si="337"/>
        <v>R</v>
      </c>
      <c r="M1058" s="1" t="str">
        <f t="shared" si="351"/>
        <v>T03</v>
      </c>
      <c r="N1058" s="1" t="str">
        <f t="shared" si="339"/>
        <v>Y</v>
      </c>
      <c r="O1058" s="1" t="str">
        <f t="shared" si="347"/>
        <v>Y</v>
      </c>
      <c r="P1058" s="1" t="str">
        <f t="shared" si="341"/>
        <v>Y</v>
      </c>
      <c r="Q1058" s="1" t="str">
        <f t="shared" si="352"/>
        <v>A</v>
      </c>
    </row>
    <row r="1059" spans="1:17" x14ac:dyDescent="0.3">
      <c r="A1059" s="1" t="str">
        <f t="shared" si="332"/>
        <v>D</v>
      </c>
      <c r="B1059" s="1" t="str">
        <f>"IL01HPTLT6"</f>
        <v>IL01HPTLT6</v>
      </c>
      <c r="C1059" s="1" t="str">
        <f>"고혈압 유질환자"</f>
        <v>고혈압 유질환자</v>
      </c>
      <c r="D1059" s="1" t="str">
        <f>"혈압이 정상보다 약간 높습니다. 정상혈압 내로 조절될 수 있도록 의사와 상의하세요."</f>
        <v>혈압이 정상보다 약간 높습니다. 정상혈압 내로 조절될 수 있도록 의사와 상의하세요.</v>
      </c>
      <c r="E1059" s="1" t="str">
        <f t="shared" si="348"/>
        <v>WOK02</v>
      </c>
      <c r="F1059" s="1" t="str">
        <f t="shared" si="349"/>
        <v>PTM04</v>
      </c>
      <c r="G1059" s="1" t="str">
        <f>"DISI"</f>
        <v>DISI</v>
      </c>
      <c r="H1059" s="1" t="str">
        <f>"REL03"</f>
        <v>REL03</v>
      </c>
      <c r="I1059" s="1" t="str">
        <f>""</f>
        <v/>
      </c>
      <c r="J1059" s="1" t="str">
        <f t="shared" si="353"/>
        <v>C03D</v>
      </c>
      <c r="K1059" s="1" t="str">
        <f t="shared" si="353"/>
        <v>C03D</v>
      </c>
      <c r="L1059" s="1" t="str">
        <f t="shared" si="337"/>
        <v>R</v>
      </c>
      <c r="M1059" s="1" t="str">
        <f t="shared" si="351"/>
        <v>T03</v>
      </c>
      <c r="N1059" s="1" t="str">
        <f t="shared" si="339"/>
        <v>Y</v>
      </c>
      <c r="O1059" s="1" t="str">
        <f t="shared" si="347"/>
        <v>Y</v>
      </c>
      <c r="P1059" s="1" t="str">
        <f t="shared" si="341"/>
        <v>Y</v>
      </c>
      <c r="Q1059" s="1" t="str">
        <f t="shared" si="352"/>
        <v>A</v>
      </c>
    </row>
    <row r="1060" spans="1:17" x14ac:dyDescent="0.3">
      <c r="A1060" s="1" t="str">
        <f t="shared" si="332"/>
        <v>D</v>
      </c>
      <c r="B1060" s="1" t="str">
        <f>"IL01J0207"</f>
        <v>IL01J0207</v>
      </c>
      <c r="C1060" s="1" t="str">
        <f>"고혈압 유질환자"</f>
        <v>고혈압 유질환자</v>
      </c>
      <c r="D1060" s="1" t="str">
        <f>"고혈압이 잘 조절되고 있습니다. 지속적으로 관리하십시오."</f>
        <v>고혈압이 잘 조절되고 있습니다. 지속적으로 관리하십시오.</v>
      </c>
      <c r="E1060" s="1" t="str">
        <f t="shared" si="348"/>
        <v>WOK02</v>
      </c>
      <c r="F1060" s="1" t="str">
        <f t="shared" si="349"/>
        <v>PTM04</v>
      </c>
      <c r="G1060" s="1" t="str">
        <f>"DISI"</f>
        <v>DISI</v>
      </c>
      <c r="H1060" s="1" t="str">
        <f>"REL03"</f>
        <v>REL03</v>
      </c>
      <c r="I1060" s="1" t="str">
        <f>""</f>
        <v/>
      </c>
      <c r="J1060" s="1" t="str">
        <f t="shared" si="353"/>
        <v>C03D</v>
      </c>
      <c r="K1060" s="1" t="str">
        <f t="shared" si="353"/>
        <v>C03D</v>
      </c>
      <c r="L1060" s="1" t="str">
        <f t="shared" si="337"/>
        <v>R</v>
      </c>
      <c r="M1060" s="1" t="str">
        <f t="shared" si="351"/>
        <v>T03</v>
      </c>
      <c r="N1060" s="1" t="str">
        <f t="shared" si="339"/>
        <v>Y</v>
      </c>
      <c r="O1060" s="1" t="str">
        <f t="shared" si="347"/>
        <v>Y</v>
      </c>
      <c r="P1060" s="1" t="str">
        <f t="shared" si="341"/>
        <v>Y</v>
      </c>
      <c r="Q1060" s="1" t="str">
        <f t="shared" si="352"/>
        <v>A</v>
      </c>
    </row>
    <row r="1061" spans="1:17" x14ac:dyDescent="0.3">
      <c r="A1061" s="1" t="str">
        <f t="shared" si="332"/>
        <v>D</v>
      </c>
      <c r="B1061" s="1" t="str">
        <f>"IL01J0218"</f>
        <v>IL01J0218</v>
      </c>
      <c r="C1061" s="1" t="str">
        <f>"당뇨병 유질환자"</f>
        <v>당뇨병 유질환자</v>
      </c>
      <c r="D1061" s="1" t="str">
        <f>"혈당이 약간 높습니다. 진료받고 있는 의사와 상의하십시요."</f>
        <v>혈당이 약간 높습니다. 진료받고 있는 의사와 상의하십시요.</v>
      </c>
      <c r="E1061" s="1" t="str">
        <f t="shared" si="348"/>
        <v>WOK02</v>
      </c>
      <c r="F1061" s="1" t="str">
        <f t="shared" si="349"/>
        <v>PTM04</v>
      </c>
      <c r="G1061" s="1" t="str">
        <f>"DISE"</f>
        <v>DISE</v>
      </c>
      <c r="H1061" s="1" t="str">
        <f>"REL07"</f>
        <v>REL07</v>
      </c>
      <c r="I1061" s="1" t="str">
        <f>""</f>
        <v/>
      </c>
      <c r="J1061" s="1" t="str">
        <f>"C06D"</f>
        <v>C06D</v>
      </c>
      <c r="K1061" s="1" t="str">
        <f>"C06D"</f>
        <v>C06D</v>
      </c>
      <c r="L1061" s="1" t="str">
        <f t="shared" si="337"/>
        <v>R</v>
      </c>
      <c r="M1061" s="1" t="str">
        <f t="shared" si="351"/>
        <v>T03</v>
      </c>
      <c r="N1061" s="1" t="str">
        <f t="shared" si="339"/>
        <v>Y</v>
      </c>
      <c r="O1061" s="1" t="str">
        <f t="shared" si="347"/>
        <v>Y</v>
      </c>
      <c r="P1061" s="1" t="str">
        <f t="shared" si="341"/>
        <v>Y</v>
      </c>
      <c r="Q1061" s="1" t="str">
        <f t="shared" si="352"/>
        <v>A</v>
      </c>
    </row>
    <row r="1062" spans="1:17" x14ac:dyDescent="0.3">
      <c r="A1062" s="1" t="str">
        <f t="shared" si="332"/>
        <v>D</v>
      </c>
      <c r="B1062" s="1" t="str">
        <f>"J0207"</f>
        <v>J0207</v>
      </c>
      <c r="C1062" s="1" t="str">
        <f>"고혈압 치료중"</f>
        <v>고혈압 치료중</v>
      </c>
      <c r="D1062" s="1" t="str">
        <f>"지속적인 혈압약 복용 및 저염식 운동요법 병행과 정기적 혈압체크 요합니다."</f>
        <v>지속적인 혈압약 복용 및 저염식 운동요법 병행과 정기적 혈압체크 요합니다.</v>
      </c>
      <c r="E1062" s="1" t="str">
        <f t="shared" si="348"/>
        <v>WOK02</v>
      </c>
      <c r="F1062" s="1" t="str">
        <f t="shared" si="349"/>
        <v>PTM04</v>
      </c>
      <c r="G1062" s="1" t="str">
        <f>"DISI"</f>
        <v>DISI</v>
      </c>
      <c r="H1062" s="1" t="str">
        <f>"REL03"</f>
        <v>REL03</v>
      </c>
      <c r="I1062" s="1" t="str">
        <f>"P0601"</f>
        <v>P0601</v>
      </c>
      <c r="J1062" s="1" t="str">
        <f>"C03C"</f>
        <v>C03C</v>
      </c>
      <c r="K1062" s="1" t="str">
        <f>"C03C"</f>
        <v>C03C</v>
      </c>
      <c r="L1062" s="1" t="str">
        <f t="shared" si="337"/>
        <v>R</v>
      </c>
      <c r="M1062" s="1" t="str">
        <f t="shared" si="351"/>
        <v>T03</v>
      </c>
      <c r="N1062" s="1" t="str">
        <f t="shared" si="339"/>
        <v>Y</v>
      </c>
      <c r="O1062" s="1" t="str">
        <f t="shared" si="347"/>
        <v>Y</v>
      </c>
      <c r="P1062" s="1" t="str">
        <f t="shared" si="341"/>
        <v>Y</v>
      </c>
      <c r="Q1062" s="1" t="str">
        <f t="shared" si="352"/>
        <v>A</v>
      </c>
    </row>
    <row r="1063" spans="1:17" x14ac:dyDescent="0.3">
      <c r="A1063" s="1" t="str">
        <f t="shared" si="332"/>
        <v>D</v>
      </c>
      <c r="B1063" s="1" t="str">
        <f>"J0209"</f>
        <v>J0209</v>
      </c>
      <c r="C1063" s="1" t="str">
        <f>"고지혈증"</f>
        <v>고지혈증</v>
      </c>
      <c r="D1063" s="1" t="str">
        <f>"총콜레스테롤 수치가 정상범위 보다 매우 높습니다. 운동 및 저지방식이 하시고 가까운 의료기관에 방문하여 진료 받으세요."</f>
        <v>총콜레스테롤 수치가 정상범위 보다 매우 높습니다. 운동 및 저지방식이 하시고 가까운 의료기관에 방문하여 진료 받으세요.</v>
      </c>
      <c r="E1063" s="1" t="str">
        <f t="shared" si="348"/>
        <v>WOK02</v>
      </c>
      <c r="F1063" s="1" t="str">
        <f t="shared" si="349"/>
        <v>PTM04</v>
      </c>
      <c r="G1063" s="1" t="str">
        <f>"DISE"</f>
        <v>DISE</v>
      </c>
      <c r="H1063" s="1" t="str">
        <f>"REL04"</f>
        <v>REL04</v>
      </c>
      <c r="I1063" s="1" t="str">
        <f>""</f>
        <v/>
      </c>
      <c r="J1063" s="1" t="str">
        <f>"C04D"</f>
        <v>C04D</v>
      </c>
      <c r="K1063" s="1" t="str">
        <f>"C04D"</f>
        <v>C04D</v>
      </c>
      <c r="L1063" s="1" t="str">
        <f t="shared" si="337"/>
        <v>R</v>
      </c>
      <c r="M1063" s="1" t="str">
        <f t="shared" si="351"/>
        <v>T03</v>
      </c>
      <c r="N1063" s="1" t="str">
        <f t="shared" si="339"/>
        <v>Y</v>
      </c>
      <c r="O1063" s="1" t="str">
        <f t="shared" si="347"/>
        <v>Y</v>
      </c>
      <c r="P1063" s="1" t="str">
        <f t="shared" si="341"/>
        <v>Y</v>
      </c>
      <c r="Q1063" s="1" t="str">
        <f t="shared" si="352"/>
        <v>A</v>
      </c>
    </row>
    <row r="1064" spans="1:17" x14ac:dyDescent="0.3">
      <c r="A1064" s="1" t="str">
        <f t="shared" si="332"/>
        <v>D</v>
      </c>
      <c r="B1064" s="1" t="str">
        <f>"J0212"</f>
        <v>J0212</v>
      </c>
      <c r="C1064" s="1" t="str">
        <f>"이상지질혈증 유질환자"</f>
        <v>이상지질혈증 유질환자</v>
      </c>
      <c r="D1064" s="1" t="str">
        <f>"이상지질혈증으로 진단 받고 치료중이니 지속적으로 관리하십시오."</f>
        <v>이상지질혈증으로 진단 받고 치료중이니 지속적으로 관리하십시오.</v>
      </c>
      <c r="E1064" s="1" t="str">
        <f t="shared" si="348"/>
        <v>WOK02</v>
      </c>
      <c r="F1064" s="1" t="str">
        <f t="shared" si="349"/>
        <v>PTM04</v>
      </c>
      <c r="G1064" s="1" t="str">
        <f>"DISE"</f>
        <v>DISE</v>
      </c>
      <c r="H1064" s="1" t="str">
        <f>"REL04"</f>
        <v>REL04</v>
      </c>
      <c r="I1064" s="1" t="str">
        <f>""</f>
        <v/>
      </c>
      <c r="J1064" s="1" t="str">
        <f>"C04D"</f>
        <v>C04D</v>
      </c>
      <c r="K1064" s="1" t="str">
        <f>"C04D"</f>
        <v>C04D</v>
      </c>
      <c r="L1064" s="1" t="str">
        <f t="shared" si="337"/>
        <v>R</v>
      </c>
      <c r="M1064" s="1" t="str">
        <f t="shared" si="351"/>
        <v>T03</v>
      </c>
      <c r="N1064" s="1" t="str">
        <f t="shared" si="339"/>
        <v>Y</v>
      </c>
      <c r="O1064" s="1" t="str">
        <f t="shared" si="347"/>
        <v>Y</v>
      </c>
      <c r="P1064" s="1" t="str">
        <f t="shared" si="341"/>
        <v>Y</v>
      </c>
      <c r="Q1064" s="1" t="str">
        <f t="shared" si="352"/>
        <v>A</v>
      </c>
    </row>
    <row r="1065" spans="1:17" x14ac:dyDescent="0.3">
      <c r="A1065" s="1" t="str">
        <f t="shared" si="332"/>
        <v>D</v>
      </c>
      <c r="B1065" s="1" t="str">
        <f>"J0214"</f>
        <v>J0214</v>
      </c>
      <c r="C1065" s="1" t="str">
        <f>"경미한 지질이상(고지혈증 치료중)"</f>
        <v>경미한 지질이상(고지혈증 치료중)</v>
      </c>
      <c r="D1065" s="1" t="str">
        <f>"HDL콜레스테롤이 일정수준 이하로 낮으면 관상동맥질환의 발생위험이 높아집니다. 규칙적인 운동하세요."</f>
        <v>HDL콜레스테롤이 일정수준 이하로 낮으면 관상동맥질환의 발생위험이 높아집니다. 규칙적인 운동하세요.</v>
      </c>
      <c r="E1065" s="1" t="str">
        <f t="shared" si="348"/>
        <v>WOK02</v>
      </c>
      <c r="F1065" s="1" t="str">
        <f t="shared" si="349"/>
        <v>PTM04</v>
      </c>
      <c r="G1065" s="1" t="str">
        <f>"DISE"</f>
        <v>DISE</v>
      </c>
      <c r="H1065" s="1" t="str">
        <f>"REL04"</f>
        <v>REL04</v>
      </c>
      <c r="I1065" s="1" t="str">
        <f>""</f>
        <v/>
      </c>
      <c r="J1065" s="1" t="str">
        <f>"C04C"</f>
        <v>C04C</v>
      </c>
      <c r="K1065" s="1" t="str">
        <f>"C04C"</f>
        <v>C04C</v>
      </c>
      <c r="L1065" s="1" t="str">
        <f t="shared" si="337"/>
        <v>R</v>
      </c>
      <c r="M1065" s="1" t="str">
        <f t="shared" si="351"/>
        <v>T03</v>
      </c>
      <c r="N1065" s="1" t="str">
        <f t="shared" si="339"/>
        <v>Y</v>
      </c>
      <c r="O1065" s="1" t="str">
        <f t="shared" si="347"/>
        <v>Y</v>
      </c>
      <c r="P1065" s="1" t="str">
        <f t="shared" si="341"/>
        <v>Y</v>
      </c>
      <c r="Q1065" s="1" t="str">
        <f t="shared" si="352"/>
        <v>A</v>
      </c>
    </row>
    <row r="1066" spans="1:17" x14ac:dyDescent="0.3">
      <c r="A1066" s="1" t="str">
        <f t="shared" si="332"/>
        <v>D</v>
      </c>
      <c r="B1066" s="1" t="str">
        <f>"J0218"</f>
        <v>J0218</v>
      </c>
      <c r="C1066" s="1" t="str">
        <f>"당뇨병 유질환자"</f>
        <v>당뇨병 유질환자</v>
      </c>
      <c r="D1066" s="1" t="str">
        <f>"지속적인 혈당관리 및 당뇨치료를 받으세요."</f>
        <v>지속적인 혈당관리 및 당뇨치료를 받으세요.</v>
      </c>
      <c r="E1066" s="1" t="str">
        <f t="shared" si="348"/>
        <v>WOK02</v>
      </c>
      <c r="F1066" s="1" t="str">
        <f t="shared" si="349"/>
        <v>PTM04</v>
      </c>
      <c r="G1066" s="1" t="str">
        <f>"DISE"</f>
        <v>DISE</v>
      </c>
      <c r="H1066" s="1" t="str">
        <f>"REL07"</f>
        <v>REL07</v>
      </c>
      <c r="I1066" s="1" t="str">
        <f>""</f>
        <v/>
      </c>
      <c r="J1066" s="1" t="str">
        <f>"C06D"</f>
        <v>C06D</v>
      </c>
      <c r="K1066" s="1" t="str">
        <f>"C06D"</f>
        <v>C06D</v>
      </c>
      <c r="L1066" s="1" t="str">
        <f t="shared" si="337"/>
        <v>R</v>
      </c>
      <c r="M1066" s="1" t="str">
        <f t="shared" si="351"/>
        <v>T03</v>
      </c>
      <c r="N1066" s="1" t="str">
        <f t="shared" si="339"/>
        <v>Y</v>
      </c>
      <c r="O1066" s="1" t="str">
        <f t="shared" si="347"/>
        <v>Y</v>
      </c>
      <c r="P1066" s="1" t="str">
        <f t="shared" si="341"/>
        <v>Y</v>
      </c>
      <c r="Q1066" s="1" t="str">
        <f t="shared" si="352"/>
        <v>A</v>
      </c>
    </row>
    <row r="1067" spans="1:17" x14ac:dyDescent="0.3">
      <c r="A1067" s="1" t="str">
        <f t="shared" si="332"/>
        <v>D</v>
      </c>
      <c r="B1067" s="1" t="str">
        <f>"J0220"</f>
        <v>J0220</v>
      </c>
      <c r="C1067" s="1" t="str">
        <f>"치료중인 폐결핵"</f>
        <v>치료중인 폐결핵</v>
      </c>
      <c r="D1067" s="1" t="str">
        <f>"폐결핵이 완치될 때까지 약물치료를 계속하세요."</f>
        <v>폐결핵이 완치될 때까지 약물치료를 계속하세요.</v>
      </c>
      <c r="E1067" s="1" t="str">
        <f t="shared" si="348"/>
        <v>WOK02</v>
      </c>
      <c r="F1067" s="1" t="str">
        <f t="shared" si="349"/>
        <v>PTM04</v>
      </c>
      <c r="G1067" s="1" t="str">
        <f>"DISJ"</f>
        <v>DISJ</v>
      </c>
      <c r="H1067" s="1" t="str">
        <f>"REL01"</f>
        <v>REL01</v>
      </c>
      <c r="I1067" s="1" t="str">
        <f>""</f>
        <v/>
      </c>
      <c r="J1067" s="1" t="str">
        <f>"C01D"</f>
        <v>C01D</v>
      </c>
      <c r="K1067" s="1" t="str">
        <f>"C01D"</f>
        <v>C01D</v>
      </c>
      <c r="L1067" s="1" t="str">
        <f t="shared" si="337"/>
        <v>R</v>
      </c>
      <c r="M1067" s="1" t="str">
        <f>"T04"</f>
        <v>T04</v>
      </c>
      <c r="N1067" s="1" t="str">
        <f t="shared" si="339"/>
        <v>Y</v>
      </c>
      <c r="O1067" s="1" t="str">
        <f t="shared" si="347"/>
        <v>Y</v>
      </c>
      <c r="P1067" s="1" t="str">
        <f t="shared" si="341"/>
        <v>Y</v>
      </c>
      <c r="Q1067" s="1" t="str">
        <f t="shared" si="352"/>
        <v>A</v>
      </c>
    </row>
    <row r="1068" spans="1:17" x14ac:dyDescent="0.3">
      <c r="A1068" s="1" t="str">
        <f t="shared" si="332"/>
        <v>D</v>
      </c>
      <c r="B1068" s="1" t="str">
        <f>"J0239"</f>
        <v>J0239</v>
      </c>
      <c r="C1068" s="1" t="str">
        <f>"고혈압(2차)"</f>
        <v>고혈압(2차)</v>
      </c>
      <c r="D1068" s="1" t="str">
        <f>"2차 검사에서도 고혈압 소견입니다. 지속적 관리 및 치료가 필요하므로 내원 치료 하시기 바랍니다"</f>
        <v>2차 검사에서도 고혈압 소견입니다. 지속적 관리 및 치료가 필요하므로 내원 치료 하시기 바랍니다</v>
      </c>
      <c r="E1068" s="1" t="str">
        <f t="shared" si="348"/>
        <v>WOK02</v>
      </c>
      <c r="F1068" s="1" t="str">
        <f t="shared" si="349"/>
        <v>PTM04</v>
      </c>
      <c r="G1068" s="1" t="str">
        <f>"DISI"</f>
        <v>DISI</v>
      </c>
      <c r="H1068" s="1" t="str">
        <f>"REL03"</f>
        <v>REL03</v>
      </c>
      <c r="I1068" s="1" t="str">
        <f>""</f>
        <v/>
      </c>
      <c r="J1068" s="1" t="str">
        <f>"C03D"</f>
        <v>C03D</v>
      </c>
      <c r="K1068" s="1" t="str">
        <f>"C03D"</f>
        <v>C03D</v>
      </c>
      <c r="L1068" s="1" t="str">
        <f t="shared" si="337"/>
        <v>R</v>
      </c>
      <c r="M1068" s="1" t="str">
        <f>"T03"</f>
        <v>T03</v>
      </c>
      <c r="N1068" s="1" t="str">
        <f t="shared" si="339"/>
        <v>Y</v>
      </c>
      <c r="O1068" s="1" t="str">
        <f t="shared" si="347"/>
        <v>Y</v>
      </c>
      <c r="P1068" s="1" t="str">
        <f t="shared" si="341"/>
        <v>Y</v>
      </c>
      <c r="Q1068" s="1" t="str">
        <f t="shared" si="352"/>
        <v>A</v>
      </c>
    </row>
    <row r="1069" spans="1:17" x14ac:dyDescent="0.3">
      <c r="A1069" s="1" t="str">
        <f t="shared" si="332"/>
        <v>D</v>
      </c>
      <c r="B1069" s="1" t="str">
        <f>"LIP404"</f>
        <v>LIP404</v>
      </c>
      <c r="C1069" s="1" t="str">
        <f>"이상지질혈증"</f>
        <v>이상지질혈증</v>
      </c>
      <c r="D1069" s="1" t="str">
        <f>"고중성지방혈증은 과다한 음주나 동물성 지방섭취가 주요원인 입니다. 현재 수치가 매우 높으므로 내원 상담하시기 바랍니다."</f>
        <v>고중성지방혈증은 과다한 음주나 동물성 지방섭취가 주요원인 입니다. 현재 수치가 매우 높으므로 내원 상담하시기 바랍니다.</v>
      </c>
      <c r="E1069" s="1" t="str">
        <f t="shared" si="348"/>
        <v>WOK02</v>
      </c>
      <c r="F1069" s="1" t="str">
        <f t="shared" si="349"/>
        <v>PTM04</v>
      </c>
      <c r="G1069" s="1" t="str">
        <f>"DISE"</f>
        <v>DISE</v>
      </c>
      <c r="H1069" s="1" t="str">
        <f>"REL04"</f>
        <v>REL04</v>
      </c>
      <c r="I1069" s="1" t="str">
        <f>""</f>
        <v/>
      </c>
      <c r="J1069" s="1" t="str">
        <f>"C04D"</f>
        <v>C04D</v>
      </c>
      <c r="K1069" s="1" t="str">
        <f>"C04D"</f>
        <v>C04D</v>
      </c>
      <c r="L1069" s="1" t="str">
        <f t="shared" si="337"/>
        <v>R</v>
      </c>
      <c r="M1069" s="1" t="str">
        <f>"T03"</f>
        <v>T03</v>
      </c>
      <c r="N1069" s="1" t="str">
        <f t="shared" si="339"/>
        <v>Y</v>
      </c>
      <c r="O1069" s="1" t="str">
        <f t="shared" si="347"/>
        <v>Y</v>
      </c>
      <c r="P1069" s="1" t="str">
        <f t="shared" si="341"/>
        <v>Y</v>
      </c>
      <c r="Q1069" s="1" t="str">
        <f t="shared" si="352"/>
        <v>A</v>
      </c>
    </row>
    <row r="1070" spans="1:17" x14ac:dyDescent="0.3">
      <c r="A1070" s="1" t="str">
        <f t="shared" si="332"/>
        <v>D</v>
      </c>
      <c r="B1070" s="1" t="str">
        <f>"LIPLD1"</f>
        <v>LIPLD1</v>
      </c>
      <c r="C1070" s="1" t="str">
        <f>"고지혈증"</f>
        <v>고지혈증</v>
      </c>
      <c r="D1070" s="1" t="s">
        <v>345</v>
      </c>
      <c r="E1070" s="1" t="str">
        <f t="shared" si="348"/>
        <v>WOK02</v>
      </c>
      <c r="F1070" s="1" t="str">
        <f t="shared" si="349"/>
        <v>PTM04</v>
      </c>
      <c r="G1070" s="1" t="str">
        <f>"DISE"</f>
        <v>DISE</v>
      </c>
      <c r="H1070" s="1" t="str">
        <f>"REL04"</f>
        <v>REL04</v>
      </c>
      <c r="I1070" s="1" t="str">
        <f>""</f>
        <v/>
      </c>
      <c r="J1070" s="1" t="str">
        <f>"C04C"</f>
        <v>C04C</v>
      </c>
      <c r="K1070" s="1" t="str">
        <f>"C04C"</f>
        <v>C04C</v>
      </c>
      <c r="L1070" s="1" t="str">
        <f t="shared" si="337"/>
        <v>R</v>
      </c>
      <c r="M1070" s="1" t="str">
        <f>"T03"</f>
        <v>T03</v>
      </c>
      <c r="N1070" s="1" t="str">
        <f t="shared" si="339"/>
        <v>Y</v>
      </c>
      <c r="O1070" s="1" t="str">
        <f t="shared" si="347"/>
        <v>Y</v>
      </c>
      <c r="P1070" s="1" t="str">
        <f t="shared" si="341"/>
        <v>Y</v>
      </c>
      <c r="Q1070" s="1" t="str">
        <f t="shared" si="352"/>
        <v>A</v>
      </c>
    </row>
    <row r="1071" spans="1:17" x14ac:dyDescent="0.3">
      <c r="A1071" s="1" t="str">
        <f t="shared" si="332"/>
        <v>D</v>
      </c>
      <c r="B1071" s="1" t="str">
        <f>"LIPLT6"</f>
        <v>LIPLT6</v>
      </c>
      <c r="C1071" s="1" t="str">
        <f>"고지혈증"</f>
        <v>고지혈증</v>
      </c>
      <c r="D1071" s="1" t="str">
        <f>"혈액 검사 상 동맥경화의 주요 원인인 저밀도 콜레스테롤 수치가 높습니다. 운동  저지방식이 하시고 내원 상담하시기 바랍니다."</f>
        <v>혈액 검사 상 동맥경화의 주요 원인인 저밀도 콜레스테롤 수치가 높습니다. 운동  저지방식이 하시고 내원 상담하시기 바랍니다.</v>
      </c>
      <c r="E1071" s="1" t="str">
        <f t="shared" si="348"/>
        <v>WOK02</v>
      </c>
      <c r="F1071" s="1" t="str">
        <f t="shared" si="349"/>
        <v>PTM04</v>
      </c>
      <c r="G1071" s="1" t="str">
        <f>"DISE"</f>
        <v>DISE</v>
      </c>
      <c r="H1071" s="1" t="str">
        <f>"REL04"</f>
        <v>REL04</v>
      </c>
      <c r="I1071" s="1" t="str">
        <f>""</f>
        <v/>
      </c>
      <c r="J1071" s="1" t="str">
        <f>"C04C"</f>
        <v>C04C</v>
      </c>
      <c r="K1071" s="1" t="str">
        <f>"C04C"</f>
        <v>C04C</v>
      </c>
      <c r="L1071" s="1" t="str">
        <f t="shared" si="337"/>
        <v>R</v>
      </c>
      <c r="M1071" s="1" t="str">
        <f>"T03"</f>
        <v>T03</v>
      </c>
      <c r="N1071" s="1" t="str">
        <f t="shared" si="339"/>
        <v>Y</v>
      </c>
      <c r="O1071" s="1" t="str">
        <f t="shared" si="347"/>
        <v>Y</v>
      </c>
      <c r="P1071" s="1" t="str">
        <f t="shared" si="341"/>
        <v>Y</v>
      </c>
      <c r="Q1071" s="1" t="str">
        <f t="shared" si="352"/>
        <v>A</v>
      </c>
    </row>
    <row r="1072" spans="1:17" x14ac:dyDescent="0.3">
      <c r="A1072" s="1" t="str">
        <f t="shared" ref="A1072:A1099" si="354">"D1"</f>
        <v>D1</v>
      </c>
      <c r="B1072" s="1" t="str">
        <f>"ASM401"</f>
        <v>ASM401</v>
      </c>
      <c r="C1072" s="1" t="str">
        <f>"천식(직업성)"</f>
        <v>천식(직업성)</v>
      </c>
      <c r="D1072" s="1" t="str">
        <f>"직업성 천식 이므로 작업전환 및 치료를 받으세요."</f>
        <v>직업성 천식 이므로 작업전환 및 치료를 받으세요.</v>
      </c>
      <c r="E1072" s="1" t="str">
        <f>"WOK04"</f>
        <v>WOK04</v>
      </c>
      <c r="F1072" s="1" t="str">
        <f>"PTM06"</f>
        <v>PTM06</v>
      </c>
      <c r="G1072" s="1" t="str">
        <f>"DISJ"</f>
        <v>DISJ</v>
      </c>
      <c r="H1072" s="1" t="str">
        <f>"REL15"</f>
        <v>REL15</v>
      </c>
      <c r="I1072" s="1" t="str">
        <f>""</f>
        <v/>
      </c>
      <c r="J1072" s="1" t="str">
        <f>"S01D"</f>
        <v>S01D</v>
      </c>
      <c r="K1072" s="1" t="str">
        <f>"S01D"</f>
        <v>S01D</v>
      </c>
      <c r="L1072" s="1" t="str">
        <f t="shared" si="337"/>
        <v>R</v>
      </c>
      <c r="M1072" s="1" t="str">
        <f>"T04"</f>
        <v>T04</v>
      </c>
      <c r="N1072" s="1" t="str">
        <f t="shared" si="339"/>
        <v>Y</v>
      </c>
      <c r="O1072" s="1" t="str">
        <f t="shared" si="347"/>
        <v>Y</v>
      </c>
      <c r="P1072" s="1" t="str">
        <f t="shared" si="341"/>
        <v>Y</v>
      </c>
      <c r="Q1072" s="1" t="str">
        <f t="shared" si="352"/>
        <v>A</v>
      </c>
    </row>
    <row r="1073" spans="1:17" x14ac:dyDescent="0.3">
      <c r="A1073" s="1" t="str">
        <f t="shared" si="354"/>
        <v>D1</v>
      </c>
      <c r="B1073" s="1" t="str">
        <f>"BEI106"</f>
        <v>BEI106</v>
      </c>
      <c r="C1073" s="1" t="str">
        <f>"요중망간 초과"</f>
        <v>요중망간 초과</v>
      </c>
      <c r="D1073" s="1" t="str">
        <f>"요중 망간의 농도가 높습니다. 망간에 과노출된 상태이므로 보호구 착용하시고 추적검사를 받으세요."</f>
        <v>요중 망간의 농도가 높습니다. 망간에 과노출된 상태이므로 보호구 착용하시고 추적검사를 받으세요.</v>
      </c>
      <c r="E1073" s="1" t="str">
        <f>"WOK03"</f>
        <v>WOK03</v>
      </c>
      <c r="F1073" s="1" t="str">
        <f>"PTM04"</f>
        <v>PTM04</v>
      </c>
      <c r="G1073" s="1" t="str">
        <f>"DIS302"</f>
        <v>DIS302</v>
      </c>
      <c r="H1073" s="1" t="str">
        <f>"REL16"</f>
        <v>REL16</v>
      </c>
      <c r="I1073" s="1" t="str">
        <f>"N0113"</f>
        <v>N0113</v>
      </c>
      <c r="J1073" s="1" t="str">
        <f>"S01D"</f>
        <v>S01D</v>
      </c>
      <c r="K1073" s="1" t="str">
        <f>"S01D"</f>
        <v>S01D</v>
      </c>
      <c r="L1073" s="1" t="str">
        <f t="shared" si="337"/>
        <v>R</v>
      </c>
      <c r="M1073" s="1" t="str">
        <f>"T12"</f>
        <v>T12</v>
      </c>
      <c r="N1073" s="1" t="str">
        <f t="shared" si="339"/>
        <v>Y</v>
      </c>
      <c r="O1073" s="1" t="str">
        <f t="shared" si="347"/>
        <v>Y</v>
      </c>
      <c r="P1073" s="1" t="str">
        <f t="shared" si="341"/>
        <v>Y</v>
      </c>
      <c r="Q1073" s="1" t="str">
        <f t="shared" si="352"/>
        <v>A</v>
      </c>
    </row>
    <row r="1074" spans="1:17" x14ac:dyDescent="0.3">
      <c r="A1074" s="1" t="str">
        <f t="shared" si="354"/>
        <v>D1</v>
      </c>
      <c r="B1074" s="1" t="str">
        <f>"CLPD1"</f>
        <v>CLPD1</v>
      </c>
      <c r="C1074" s="1" t="str">
        <f>"염소 기체 노출로 인한 호흡기 장해"</f>
        <v>염소 기체 노출로 인한 호흡기 장해</v>
      </c>
      <c r="D1074" s="1" t="str">
        <f>"염소 기체 노출에 의한 호흡기 장해로 추정됩니다. 해당 진료과 치료 및 건강 주의를 요합니다."</f>
        <v>염소 기체 노출에 의한 호흡기 장해로 추정됩니다. 해당 진료과 치료 및 건강 주의를 요합니다.</v>
      </c>
      <c r="E1074" s="1" t="str">
        <f>"WOK03"</f>
        <v>WOK03</v>
      </c>
      <c r="F1074" s="1" t="str">
        <f>"PTM031"</f>
        <v>PTM031</v>
      </c>
      <c r="G1074" s="1" t="str">
        <f>"DIS407"</f>
        <v>DIS407</v>
      </c>
      <c r="H1074" s="1" t="str">
        <f>"REL15"</f>
        <v>REL15</v>
      </c>
      <c r="I1074" s="1" t="str">
        <f>"P0658"</f>
        <v>P0658</v>
      </c>
      <c r="J1074" s="1" t="str">
        <f>"C00D"</f>
        <v>C00D</v>
      </c>
      <c r="K1074" s="1" t="str">
        <f>"C04D"</f>
        <v>C04D</v>
      </c>
      <c r="L1074" s="1" t="str">
        <f t="shared" si="337"/>
        <v>R</v>
      </c>
      <c r="M1074" s="1" t="str">
        <f>"T04"</f>
        <v>T04</v>
      </c>
      <c r="N1074" s="1" t="str">
        <f t="shared" si="339"/>
        <v>Y</v>
      </c>
      <c r="O1074" s="1" t="str">
        <f t="shared" si="347"/>
        <v>Y</v>
      </c>
      <c r="P1074" s="1" t="str">
        <f t="shared" si="341"/>
        <v>Y</v>
      </c>
      <c r="Q1074" s="1" t="str">
        <f t="shared" si="352"/>
        <v>A</v>
      </c>
    </row>
    <row r="1075" spans="1:17" x14ac:dyDescent="0.3">
      <c r="A1075" s="1" t="str">
        <f t="shared" si="354"/>
        <v>D1</v>
      </c>
      <c r="B1075" s="1" t="str">
        <f>"FJ0186D"</f>
        <v>FJ0186D</v>
      </c>
      <c r="C1075" s="1" t="str">
        <f>"혈중납 초과 의심"</f>
        <v>혈중납 초과 의심</v>
      </c>
      <c r="D1075" s="1" t="str">
        <f>"납에 과폭로된 상태이므로. 보호구착용 철저히 하시고 추적검사 받으세요."</f>
        <v>납에 과폭로된 상태이므로. 보호구착용 철저히 하시고 추적검사 받으세요.</v>
      </c>
      <c r="E1075" s="1" t="str">
        <f>""</f>
        <v/>
      </c>
      <c r="F1075" s="1" t="str">
        <f>"PTF02"</f>
        <v>PTF02</v>
      </c>
      <c r="G1075" s="1" t="str">
        <f>"DIS306"</f>
        <v>DIS306</v>
      </c>
      <c r="H1075" s="1" t="str">
        <f>"REL16"</f>
        <v>REL16</v>
      </c>
      <c r="I1075" s="1" t="str">
        <f>"N0111"</f>
        <v>N0111</v>
      </c>
      <c r="J1075" s="1" t="str">
        <f>"S01R"</f>
        <v>S01R</v>
      </c>
      <c r="K1075" s="1" t="str">
        <f>"S01R"</f>
        <v>S01R</v>
      </c>
      <c r="L1075" s="1" t="str">
        <f t="shared" si="337"/>
        <v>R</v>
      </c>
      <c r="M1075" s="1" t="str">
        <f>"T12"</f>
        <v>T12</v>
      </c>
      <c r="N1075" s="1" t="str">
        <f t="shared" si="339"/>
        <v>Y</v>
      </c>
      <c r="O1075" s="1" t="str">
        <f t="shared" si="347"/>
        <v>Y</v>
      </c>
      <c r="P1075" s="1" t="str">
        <f t="shared" si="341"/>
        <v>Y</v>
      </c>
      <c r="Q1075" s="1" t="str">
        <f t="shared" si="352"/>
        <v>A</v>
      </c>
    </row>
    <row r="1076" spans="1:17" x14ac:dyDescent="0.3">
      <c r="A1076" s="1" t="str">
        <f t="shared" si="354"/>
        <v>D1</v>
      </c>
      <c r="B1076" s="1" t="str">
        <f>"J0011"</f>
        <v>J0011</v>
      </c>
      <c r="C1076" s="1" t="str">
        <f>"(우측)소음성난청"</f>
        <v>(우측)소음성난청</v>
      </c>
      <c r="D1076" s="1" t="s">
        <v>346</v>
      </c>
      <c r="E1076" s="1" t="str">
        <f>"WOK02"</f>
        <v>WOK02</v>
      </c>
      <c r="F1076" s="1" t="str">
        <f>"PTM03"</f>
        <v>PTM03</v>
      </c>
      <c r="G1076" s="1" t="str">
        <f>"DIS110"</f>
        <v>DIS110</v>
      </c>
      <c r="H1076" s="1" t="str">
        <f>"REL19"</f>
        <v>REL19</v>
      </c>
      <c r="I1076" s="1" t="str">
        <f>"01"</f>
        <v>01</v>
      </c>
      <c r="J1076" s="1" t="str">
        <f>"C55C"</f>
        <v>C55C</v>
      </c>
      <c r="K1076" s="1" t="str">
        <f>"C55C"</f>
        <v>C55C</v>
      </c>
      <c r="L1076" s="1" t="str">
        <f t="shared" si="337"/>
        <v>R</v>
      </c>
      <c r="M1076" s="1" t="str">
        <f>"T10"</f>
        <v>T10</v>
      </c>
      <c r="N1076" s="1" t="str">
        <f t="shared" si="339"/>
        <v>Y</v>
      </c>
      <c r="O1076" s="1" t="str">
        <f t="shared" si="347"/>
        <v>Y</v>
      </c>
      <c r="P1076" s="1" t="str">
        <f t="shared" si="341"/>
        <v>Y</v>
      </c>
      <c r="Q1076" s="1" t="str">
        <f>"R"</f>
        <v>R</v>
      </c>
    </row>
    <row r="1077" spans="1:17" x14ac:dyDescent="0.3">
      <c r="A1077" s="1" t="str">
        <f t="shared" si="354"/>
        <v>D1</v>
      </c>
      <c r="B1077" s="1" t="str">
        <f>"J0015"</f>
        <v>J0015</v>
      </c>
      <c r="C1077" s="1" t="str">
        <f>"(우측)소음성난청(기판정자)"</f>
        <v>(우측)소음성난청(기판정자)</v>
      </c>
      <c r="D1077" s="1" t="s">
        <v>347</v>
      </c>
      <c r="E1077" s="1" t="str">
        <f>"WOK02"</f>
        <v>WOK02</v>
      </c>
      <c r="F1077" s="1" t="str">
        <f>"PTM02"</f>
        <v>PTM02</v>
      </c>
      <c r="G1077" s="1" t="str">
        <f>"DIS110"</f>
        <v>DIS110</v>
      </c>
      <c r="H1077" s="1" t="str">
        <f>"REL19"</f>
        <v>REL19</v>
      </c>
      <c r="I1077" s="1" t="str">
        <f>"01"</f>
        <v>01</v>
      </c>
      <c r="J1077" s="1" t="str">
        <f>"C55C"</f>
        <v>C55C</v>
      </c>
      <c r="K1077" s="1" t="str">
        <f>"C55C"</f>
        <v>C55C</v>
      </c>
      <c r="L1077" s="1" t="str">
        <f t="shared" si="337"/>
        <v>R</v>
      </c>
      <c r="M1077" s="1" t="str">
        <f>"T10"</f>
        <v>T10</v>
      </c>
      <c r="N1077" s="1" t="str">
        <f t="shared" si="339"/>
        <v>Y</v>
      </c>
      <c r="O1077" s="1" t="str">
        <f t="shared" ref="O1077:O1108" si="355">"Y"</f>
        <v>Y</v>
      </c>
      <c r="P1077" s="1" t="str">
        <f t="shared" si="341"/>
        <v>Y</v>
      </c>
      <c r="Q1077" s="1" t="str">
        <f>"R"</f>
        <v>R</v>
      </c>
    </row>
    <row r="1078" spans="1:17" x14ac:dyDescent="0.3">
      <c r="A1078" s="1" t="str">
        <f t="shared" si="354"/>
        <v>D1</v>
      </c>
      <c r="B1078" s="1" t="str">
        <f>"J0099"</f>
        <v>J0099</v>
      </c>
      <c r="C1078" s="1" t="str">
        <f>"간 질환"</f>
        <v>간 질환</v>
      </c>
      <c r="D1078" s="1" t="str">
        <f>"간기능 증가가 작업에 의한 것으로 판단되므로 가능하다면 작업전환 및 근무중 치료가 필요합니다."</f>
        <v>간기능 증가가 작업에 의한 것으로 판단되므로 가능하다면 작업전환 및 근무중 치료가 필요합니다.</v>
      </c>
      <c r="E1078" s="1" t="str">
        <f>"WOK03"</f>
        <v>WOK03</v>
      </c>
      <c r="F1078" s="1" t="str">
        <f>"PTM07"</f>
        <v>PTM07</v>
      </c>
      <c r="G1078" s="1" t="str">
        <f>"DISK"</f>
        <v>DISK</v>
      </c>
      <c r="H1078" s="1" t="str">
        <f>"REL05"</f>
        <v>REL05</v>
      </c>
      <c r="I1078" s="1" t="str">
        <f>""</f>
        <v/>
      </c>
      <c r="J1078" s="1" t="str">
        <f>"S01D"</f>
        <v>S01D</v>
      </c>
      <c r="K1078" s="1" t="str">
        <f>"S01D"</f>
        <v>S01D</v>
      </c>
      <c r="L1078" s="1" t="str">
        <f t="shared" si="337"/>
        <v>R</v>
      </c>
      <c r="M1078" s="1" t="str">
        <f>"T02"</f>
        <v>T02</v>
      </c>
      <c r="N1078" s="1" t="str">
        <f t="shared" si="339"/>
        <v>Y</v>
      </c>
      <c r="O1078" s="1" t="str">
        <f t="shared" si="355"/>
        <v>Y</v>
      </c>
      <c r="P1078" s="1" t="str">
        <f t="shared" si="341"/>
        <v>Y</v>
      </c>
      <c r="Q1078" s="1" t="str">
        <f>"A"</f>
        <v>A</v>
      </c>
    </row>
    <row r="1079" spans="1:17" x14ac:dyDescent="0.3">
      <c r="A1079" s="1" t="str">
        <f t="shared" si="354"/>
        <v>D1</v>
      </c>
      <c r="B1079" s="1" t="str">
        <f>"J03301"</f>
        <v>J03301</v>
      </c>
      <c r="C1079" s="1" t="str">
        <f>"폐기능 저하 (중증)"</f>
        <v>폐기능 저하 (중증)</v>
      </c>
      <c r="D1079" s="1" t="s">
        <v>173</v>
      </c>
      <c r="E1079" s="1" t="str">
        <f>"WOK02"</f>
        <v>WOK02</v>
      </c>
      <c r="F1079" s="1" t="str">
        <f>"PTM06"</f>
        <v>PTM06</v>
      </c>
      <c r="G1079" s="1" t="str">
        <f>"DISJ"</f>
        <v>DISJ</v>
      </c>
      <c r="H1079" s="1" t="str">
        <f>"REL15"</f>
        <v>REL15</v>
      </c>
      <c r="I1079" s="1" t="str">
        <f>""</f>
        <v/>
      </c>
      <c r="J1079" s="1" t="str">
        <f>"S01C"</f>
        <v>S01C</v>
      </c>
      <c r="K1079" s="1" t="str">
        <f>"S01C"</f>
        <v>S01C</v>
      </c>
      <c r="L1079" s="1" t="str">
        <f t="shared" si="337"/>
        <v>R</v>
      </c>
      <c r="M1079" s="1" t="str">
        <f>"T04"</f>
        <v>T04</v>
      </c>
      <c r="N1079" s="1" t="str">
        <f t="shared" si="339"/>
        <v>Y</v>
      </c>
      <c r="O1079" s="1" t="str">
        <f t="shared" si="355"/>
        <v>Y</v>
      </c>
      <c r="P1079" s="1" t="str">
        <f t="shared" si="341"/>
        <v>Y</v>
      </c>
      <c r="Q1079" s="1" t="str">
        <f>"A"</f>
        <v>A</v>
      </c>
    </row>
    <row r="1080" spans="1:17" x14ac:dyDescent="0.3">
      <c r="A1080" s="1" t="str">
        <f t="shared" si="354"/>
        <v>D1</v>
      </c>
      <c r="B1080" s="1" t="str">
        <f>"M0055"</f>
        <v>M0055</v>
      </c>
      <c r="C1080" s="1" t="str">
        <f>"(우측)감각신경성 난청 (소음성난청 포함)"</f>
        <v>(우측)감각신경성 난청 (소음성난청 포함)</v>
      </c>
      <c r="D1080" s="1" t="s">
        <v>348</v>
      </c>
      <c r="E1080" s="1" t="str">
        <f>"WOK02"</f>
        <v>WOK02</v>
      </c>
      <c r="F1080" s="1" t="str">
        <f>"PTM02"</f>
        <v>PTM02</v>
      </c>
      <c r="G1080" s="1" t="str">
        <f>"DIS110"</f>
        <v>DIS110</v>
      </c>
      <c r="H1080" s="1" t="str">
        <f>"REL19"</f>
        <v>REL19</v>
      </c>
      <c r="I1080" s="1" t="str">
        <f>"01"</f>
        <v>01</v>
      </c>
      <c r="J1080" s="1" t="str">
        <f>"S01D"</f>
        <v>S01D</v>
      </c>
      <c r="K1080" s="1" t="str">
        <f>"S01C"</f>
        <v>S01C</v>
      </c>
      <c r="L1080" s="1" t="str">
        <f t="shared" si="337"/>
        <v>R</v>
      </c>
      <c r="M1080" s="1" t="str">
        <f t="shared" ref="M1080:M1093" si="356">"T10"</f>
        <v>T10</v>
      </c>
      <c r="N1080" s="1" t="str">
        <f t="shared" si="339"/>
        <v>Y</v>
      </c>
      <c r="O1080" s="1" t="str">
        <f t="shared" si="355"/>
        <v>Y</v>
      </c>
      <c r="P1080" s="1" t="str">
        <f t="shared" si="341"/>
        <v>Y</v>
      </c>
      <c r="Q1080" s="1" t="str">
        <f>"R"</f>
        <v>R</v>
      </c>
    </row>
    <row r="1081" spans="1:17" x14ac:dyDescent="0.3">
      <c r="A1081" s="1" t="str">
        <f t="shared" si="354"/>
        <v>D1</v>
      </c>
      <c r="B1081" s="1" t="str">
        <f>"M0056"</f>
        <v>M0056</v>
      </c>
      <c r="C1081" s="1" t="str">
        <f>"(좌측)감각신경성 난청 (소음성난청 포함)"</f>
        <v>(좌측)감각신경성 난청 (소음성난청 포함)</v>
      </c>
      <c r="D1081" s="1" t="s">
        <v>348</v>
      </c>
      <c r="E1081" s="1" t="str">
        <f>"WOK02"</f>
        <v>WOK02</v>
      </c>
      <c r="F1081" s="1" t="str">
        <f>"PTM02"</f>
        <v>PTM02</v>
      </c>
      <c r="G1081" s="1" t="str">
        <f>"DIS110"</f>
        <v>DIS110</v>
      </c>
      <c r="H1081" s="1" t="str">
        <f>"REL19"</f>
        <v>REL19</v>
      </c>
      <c r="I1081" s="1" t="str">
        <f>"01"</f>
        <v>01</v>
      </c>
      <c r="J1081" s="1" t="str">
        <f>"S01D"</f>
        <v>S01D</v>
      </c>
      <c r="K1081" s="1" t="str">
        <f>"S01C"</f>
        <v>S01C</v>
      </c>
      <c r="L1081" s="1" t="str">
        <f t="shared" si="337"/>
        <v>R</v>
      </c>
      <c r="M1081" s="1" t="str">
        <f t="shared" si="356"/>
        <v>T10</v>
      </c>
      <c r="N1081" s="1" t="str">
        <f t="shared" si="339"/>
        <v>Y</v>
      </c>
      <c r="O1081" s="1" t="str">
        <f t="shared" si="355"/>
        <v>Y</v>
      </c>
      <c r="P1081" s="1" t="str">
        <f t="shared" si="341"/>
        <v>Y</v>
      </c>
      <c r="Q1081" s="1" t="str">
        <f>"L"</f>
        <v>L</v>
      </c>
    </row>
    <row r="1082" spans="1:17" x14ac:dyDescent="0.3">
      <c r="A1082" s="1" t="str">
        <f t="shared" si="354"/>
        <v>D1</v>
      </c>
      <c r="B1082" s="1" t="str">
        <f>"NHL401"</f>
        <v>NHL401</v>
      </c>
      <c r="C1082" s="1" t="str">
        <f>"(좌측)소음성난청 질환"</f>
        <v>(좌측)소음성난청 질환</v>
      </c>
      <c r="D1082" s="1" t="str">
        <f>"소음으로 인해 청력 저하가 발생하였습니다. 이비인후과 진료 바라며 소음에 대한 작업환경 개선 및 보호구의 철저한 착용이 반드시 필요합니다."</f>
        <v>소음으로 인해 청력 저하가 발생하였습니다. 이비인후과 진료 바라며 소음에 대한 작업환경 개선 및 보호구의 철저한 착용이 반드시 필요합니다.</v>
      </c>
      <c r="E1082" s="1" t="str">
        <f>"WOK02"</f>
        <v>WOK02</v>
      </c>
      <c r="F1082" s="1" t="str">
        <f>"PTM0312"</f>
        <v>PTM0312</v>
      </c>
      <c r="G1082" s="1" t="str">
        <f>"DIS110"</f>
        <v>DIS110</v>
      </c>
      <c r="H1082" s="1" t="str">
        <f>"REL19"</f>
        <v>REL19</v>
      </c>
      <c r="I1082" s="1" t="str">
        <f>"01"</f>
        <v>01</v>
      </c>
      <c r="J1082" s="1" t="str">
        <f t="shared" ref="J1082:K1093" si="357">"C55D"</f>
        <v>C55D</v>
      </c>
      <c r="K1082" s="1" t="str">
        <f t="shared" si="357"/>
        <v>C55D</v>
      </c>
      <c r="L1082" s="1" t="str">
        <f t="shared" si="337"/>
        <v>R</v>
      </c>
      <c r="M1082" s="1" t="str">
        <f t="shared" si="356"/>
        <v>T10</v>
      </c>
      <c r="N1082" s="1" t="str">
        <f t="shared" si="339"/>
        <v>Y</v>
      </c>
      <c r="O1082" s="1" t="str">
        <f t="shared" si="355"/>
        <v>Y</v>
      </c>
      <c r="P1082" s="1" t="str">
        <f t="shared" si="341"/>
        <v>Y</v>
      </c>
      <c r="Q1082" s="1" t="str">
        <f>"L"</f>
        <v>L</v>
      </c>
    </row>
    <row r="1083" spans="1:17" x14ac:dyDescent="0.3">
      <c r="A1083" s="1" t="str">
        <f t="shared" si="354"/>
        <v>D1</v>
      </c>
      <c r="B1083" s="1" t="str">
        <f>"NHL401HPL"</f>
        <v>NHL401HPL</v>
      </c>
      <c r="C1083" s="1" t="str">
        <f>"(좌측)감각신경성 청력저하(고기압)"</f>
        <v>(좌측)감각신경성 청력저하(고기압)</v>
      </c>
      <c r="D1083" s="1" t="str">
        <f>"청력저하가 심한 편입니다. 고기압 환경에서의 작업은 피하는 것을 권고합니다."</f>
        <v>청력저하가 심한 편입니다. 고기압 환경에서의 작업은 피하는 것을 권고합니다.</v>
      </c>
      <c r="E1083" s="1" t="str">
        <f>"WOK04"</f>
        <v>WOK04</v>
      </c>
      <c r="F1083" s="1" t="str">
        <f>"PTM06"</f>
        <v>PTM06</v>
      </c>
      <c r="G1083" s="1" t="str">
        <f>"DIS141"</f>
        <v>DIS141</v>
      </c>
      <c r="H1083" s="1" t="str">
        <f>"REL31"</f>
        <v>REL31</v>
      </c>
      <c r="I1083" s="1" t="str">
        <f>""</f>
        <v/>
      </c>
      <c r="J1083" s="1" t="str">
        <f t="shared" si="357"/>
        <v>C55D</v>
      </c>
      <c r="K1083" s="1" t="str">
        <f t="shared" si="357"/>
        <v>C55D</v>
      </c>
      <c r="L1083" s="1" t="str">
        <f t="shared" si="337"/>
        <v>R</v>
      </c>
      <c r="M1083" s="1" t="str">
        <f t="shared" si="356"/>
        <v>T10</v>
      </c>
      <c r="N1083" s="1" t="str">
        <f t="shared" si="339"/>
        <v>Y</v>
      </c>
      <c r="O1083" s="1" t="str">
        <f t="shared" si="355"/>
        <v>Y</v>
      </c>
      <c r="P1083" s="1" t="str">
        <f t="shared" si="341"/>
        <v>Y</v>
      </c>
      <c r="Q1083" s="1" t="str">
        <f>"L"</f>
        <v>L</v>
      </c>
    </row>
    <row r="1084" spans="1:17" x14ac:dyDescent="0.3">
      <c r="A1084" s="1" t="str">
        <f t="shared" si="354"/>
        <v>D1</v>
      </c>
      <c r="B1084" s="1" t="str">
        <f>"NHL401HPR"</f>
        <v>NHL401HPR</v>
      </c>
      <c r="C1084" s="1" t="str">
        <f>"(우측)감각신경성 청력저하(고기압)"</f>
        <v>(우측)감각신경성 청력저하(고기압)</v>
      </c>
      <c r="D1084" s="1" t="str">
        <f>"청력저하가 심한 편입니다. 고기압 환경에서의 작업은 피하는 것을 권고합니다."</f>
        <v>청력저하가 심한 편입니다. 고기압 환경에서의 작업은 피하는 것을 권고합니다.</v>
      </c>
      <c r="E1084" s="1" t="str">
        <f>"WOK04"</f>
        <v>WOK04</v>
      </c>
      <c r="F1084" s="1" t="str">
        <f>"PTM06"</f>
        <v>PTM06</v>
      </c>
      <c r="G1084" s="1" t="str">
        <f>"DIS141"</f>
        <v>DIS141</v>
      </c>
      <c r="H1084" s="1" t="str">
        <f>"REL31"</f>
        <v>REL31</v>
      </c>
      <c r="I1084" s="1" t="str">
        <f>"03"</f>
        <v>03</v>
      </c>
      <c r="J1084" s="1" t="str">
        <f t="shared" si="357"/>
        <v>C55D</v>
      </c>
      <c r="K1084" s="1" t="str">
        <f t="shared" si="357"/>
        <v>C55D</v>
      </c>
      <c r="L1084" s="1" t="str">
        <f t="shared" si="337"/>
        <v>R</v>
      </c>
      <c r="M1084" s="1" t="str">
        <f t="shared" si="356"/>
        <v>T10</v>
      </c>
      <c r="N1084" s="1" t="str">
        <f t="shared" si="339"/>
        <v>Y</v>
      </c>
      <c r="O1084" s="1" t="str">
        <f t="shared" si="355"/>
        <v>Y</v>
      </c>
      <c r="P1084" s="1" t="str">
        <f t="shared" si="341"/>
        <v>Y</v>
      </c>
      <c r="Q1084" s="1" t="str">
        <f>"R"</f>
        <v>R</v>
      </c>
    </row>
    <row r="1085" spans="1:17" x14ac:dyDescent="0.3">
      <c r="A1085" s="1" t="str">
        <f t="shared" si="354"/>
        <v>D1</v>
      </c>
      <c r="B1085" s="1" t="str">
        <f>"NHL401R"</f>
        <v>NHL401R</v>
      </c>
      <c r="C1085" s="1" t="str">
        <f>"(우측)소음성난청 질환"</f>
        <v>(우측)소음성난청 질환</v>
      </c>
      <c r="D1085" s="1" t="str">
        <f>"소음으로 인해 청력 저하가 발생하였습니다. 이비인후과 진료 바라며 소음에 대한 작업환경 개선 및 보호구의 철저한 착용이 반드시 필요합니다."</f>
        <v>소음으로 인해 청력 저하가 발생하였습니다. 이비인후과 진료 바라며 소음에 대한 작업환경 개선 및 보호구의 철저한 착용이 반드시 필요합니다.</v>
      </c>
      <c r="E1085" s="1" t="str">
        <f t="shared" ref="E1085:E1093" si="358">"WOK02"</f>
        <v>WOK02</v>
      </c>
      <c r="F1085" s="1" t="str">
        <f t="shared" ref="F1085:F1093" si="359">"PTM0312"</f>
        <v>PTM0312</v>
      </c>
      <c r="G1085" s="1" t="str">
        <f>"DIS110"</f>
        <v>DIS110</v>
      </c>
      <c r="H1085" s="1" t="str">
        <f t="shared" ref="H1085:H1093" si="360">"REL19"</f>
        <v>REL19</v>
      </c>
      <c r="I1085" s="1" t="str">
        <f t="shared" ref="I1085:I1093" si="361">"01"</f>
        <v>01</v>
      </c>
      <c r="J1085" s="1" t="str">
        <f t="shared" si="357"/>
        <v>C55D</v>
      </c>
      <c r="K1085" s="1" t="str">
        <f t="shared" si="357"/>
        <v>C55D</v>
      </c>
      <c r="L1085" s="1" t="str">
        <f t="shared" si="337"/>
        <v>R</v>
      </c>
      <c r="M1085" s="1" t="str">
        <f t="shared" si="356"/>
        <v>T10</v>
      </c>
      <c r="N1085" s="1" t="str">
        <f t="shared" si="339"/>
        <v>Y</v>
      </c>
      <c r="O1085" s="1" t="str">
        <f t="shared" si="355"/>
        <v>Y</v>
      </c>
      <c r="P1085" s="1" t="str">
        <f t="shared" si="341"/>
        <v>Y</v>
      </c>
      <c r="Q1085" s="1" t="str">
        <f>"R"</f>
        <v>R</v>
      </c>
    </row>
    <row r="1086" spans="1:17" x14ac:dyDescent="0.3">
      <c r="A1086" s="1" t="str">
        <f t="shared" si="354"/>
        <v>D1</v>
      </c>
      <c r="B1086" s="1" t="str">
        <f>"NHL402"</f>
        <v>NHL402</v>
      </c>
      <c r="C1086" s="1" t="str">
        <f>"(좌측)전음성난청 질환"</f>
        <v>(좌측)전음성난청 질환</v>
      </c>
      <c r="D1086" s="1" t="str">
        <f>"기존 중이염 등의 귀 질환에 의한 청력손실이 관찰됩니다. 이비인후과 진료 바랍니다."</f>
        <v>기존 중이염 등의 귀 질환에 의한 청력손실이 관찰됩니다. 이비인후과 진료 바랍니다.</v>
      </c>
      <c r="E1086" s="1" t="str">
        <f t="shared" si="358"/>
        <v>WOK02</v>
      </c>
      <c r="F1086" s="1" t="str">
        <f t="shared" si="359"/>
        <v>PTM0312</v>
      </c>
      <c r="G1086" s="1" t="str">
        <f t="shared" ref="G1086:G1093" si="362">"DISH"</f>
        <v>DISH</v>
      </c>
      <c r="H1086" s="1" t="str">
        <f t="shared" si="360"/>
        <v>REL19</v>
      </c>
      <c r="I1086" s="1" t="str">
        <f t="shared" si="361"/>
        <v>01</v>
      </c>
      <c r="J1086" s="1" t="str">
        <f t="shared" si="357"/>
        <v>C55D</v>
      </c>
      <c r="K1086" s="1" t="str">
        <f t="shared" si="357"/>
        <v>C55D</v>
      </c>
      <c r="L1086" s="1" t="str">
        <f t="shared" si="337"/>
        <v>R</v>
      </c>
      <c r="M1086" s="1" t="str">
        <f t="shared" si="356"/>
        <v>T10</v>
      </c>
      <c r="N1086" s="1" t="str">
        <f t="shared" si="339"/>
        <v>Y</v>
      </c>
      <c r="O1086" s="1" t="str">
        <f t="shared" si="355"/>
        <v>Y</v>
      </c>
      <c r="P1086" s="1" t="str">
        <f t="shared" si="341"/>
        <v>Y</v>
      </c>
      <c r="Q1086" s="1" t="str">
        <f>"L"</f>
        <v>L</v>
      </c>
    </row>
    <row r="1087" spans="1:17" x14ac:dyDescent="0.3">
      <c r="A1087" s="1" t="str">
        <f t="shared" si="354"/>
        <v>D1</v>
      </c>
      <c r="B1087" s="1" t="str">
        <f>"NHL402R"</f>
        <v>NHL402R</v>
      </c>
      <c r="C1087" s="1" t="str">
        <f>"(우측)전음성난청 질환"</f>
        <v>(우측)전음성난청 질환</v>
      </c>
      <c r="D1087" s="1" t="str">
        <f>"기존 중이염 등의 귀 질환에 의한 청력손실이 관찰됩니다. 이비인후과 진료 바랍니다."</f>
        <v>기존 중이염 등의 귀 질환에 의한 청력손실이 관찰됩니다. 이비인후과 진료 바랍니다.</v>
      </c>
      <c r="E1087" s="1" t="str">
        <f t="shared" si="358"/>
        <v>WOK02</v>
      </c>
      <c r="F1087" s="1" t="str">
        <f t="shared" si="359"/>
        <v>PTM0312</v>
      </c>
      <c r="G1087" s="1" t="str">
        <f t="shared" si="362"/>
        <v>DISH</v>
      </c>
      <c r="H1087" s="1" t="str">
        <f t="shared" si="360"/>
        <v>REL19</v>
      </c>
      <c r="I1087" s="1" t="str">
        <f t="shared" si="361"/>
        <v>01</v>
      </c>
      <c r="J1087" s="1" t="str">
        <f t="shared" si="357"/>
        <v>C55D</v>
      </c>
      <c r="K1087" s="1" t="str">
        <f t="shared" si="357"/>
        <v>C55D</v>
      </c>
      <c r="L1087" s="1" t="str">
        <f t="shared" si="337"/>
        <v>R</v>
      </c>
      <c r="M1087" s="1" t="str">
        <f t="shared" si="356"/>
        <v>T10</v>
      </c>
      <c r="N1087" s="1" t="str">
        <f t="shared" si="339"/>
        <v>Y</v>
      </c>
      <c r="O1087" s="1" t="str">
        <f t="shared" si="355"/>
        <v>Y</v>
      </c>
      <c r="P1087" s="1" t="str">
        <f t="shared" si="341"/>
        <v>Y</v>
      </c>
      <c r="Q1087" s="1" t="str">
        <f>"R"</f>
        <v>R</v>
      </c>
    </row>
    <row r="1088" spans="1:17" x14ac:dyDescent="0.3">
      <c r="A1088" s="1" t="str">
        <f t="shared" si="354"/>
        <v>D1</v>
      </c>
      <c r="B1088" s="1" t="str">
        <f>"NHL403"</f>
        <v>NHL403</v>
      </c>
      <c r="C1088" s="1" t="str">
        <f>"(좌측)혼합성난청 질환"</f>
        <v>(좌측)혼합성난청 질환</v>
      </c>
      <c r="D1088" s="1" t="str">
        <f>"정확한 진단을 위해 이비인후과 진료 바랍니다."</f>
        <v>정확한 진단을 위해 이비인후과 진료 바랍니다.</v>
      </c>
      <c r="E1088" s="1" t="str">
        <f t="shared" si="358"/>
        <v>WOK02</v>
      </c>
      <c r="F1088" s="1" t="str">
        <f t="shared" si="359"/>
        <v>PTM0312</v>
      </c>
      <c r="G1088" s="1" t="str">
        <f t="shared" si="362"/>
        <v>DISH</v>
      </c>
      <c r="H1088" s="1" t="str">
        <f t="shared" si="360"/>
        <v>REL19</v>
      </c>
      <c r="I1088" s="1" t="str">
        <f t="shared" si="361"/>
        <v>01</v>
      </c>
      <c r="J1088" s="1" t="str">
        <f t="shared" si="357"/>
        <v>C55D</v>
      </c>
      <c r="K1088" s="1" t="str">
        <f t="shared" si="357"/>
        <v>C55D</v>
      </c>
      <c r="L1088" s="1" t="str">
        <f t="shared" si="337"/>
        <v>R</v>
      </c>
      <c r="M1088" s="1" t="str">
        <f t="shared" si="356"/>
        <v>T10</v>
      </c>
      <c r="N1088" s="1" t="str">
        <f t="shared" si="339"/>
        <v>Y</v>
      </c>
      <c r="O1088" s="1" t="str">
        <f t="shared" si="355"/>
        <v>Y</v>
      </c>
      <c r="P1088" s="1" t="str">
        <f t="shared" si="341"/>
        <v>Y</v>
      </c>
      <c r="Q1088" s="1" t="str">
        <f>"L"</f>
        <v>L</v>
      </c>
    </row>
    <row r="1089" spans="1:17" x14ac:dyDescent="0.3">
      <c r="A1089" s="1" t="str">
        <f t="shared" si="354"/>
        <v>D1</v>
      </c>
      <c r="B1089" s="1" t="str">
        <f>"NHL403R"</f>
        <v>NHL403R</v>
      </c>
      <c r="C1089" s="1" t="str">
        <f>"(우측)혼합성난청 질환"</f>
        <v>(우측)혼합성난청 질환</v>
      </c>
      <c r="D1089" s="1" t="str">
        <f>"정확한 진단을 위해 이비인후과 진료 바랍니다."</f>
        <v>정확한 진단을 위해 이비인후과 진료 바랍니다.</v>
      </c>
      <c r="E1089" s="1" t="str">
        <f t="shared" si="358"/>
        <v>WOK02</v>
      </c>
      <c r="F1089" s="1" t="str">
        <f t="shared" si="359"/>
        <v>PTM0312</v>
      </c>
      <c r="G1089" s="1" t="str">
        <f t="shared" si="362"/>
        <v>DISH</v>
      </c>
      <c r="H1089" s="1" t="str">
        <f t="shared" si="360"/>
        <v>REL19</v>
      </c>
      <c r="I1089" s="1" t="str">
        <f t="shared" si="361"/>
        <v>01</v>
      </c>
      <c r="J1089" s="1" t="str">
        <f t="shared" si="357"/>
        <v>C55D</v>
      </c>
      <c r="K1089" s="1" t="str">
        <f t="shared" si="357"/>
        <v>C55D</v>
      </c>
      <c r="L1089" s="1" t="str">
        <f t="shared" si="337"/>
        <v>R</v>
      </c>
      <c r="M1089" s="1" t="str">
        <f t="shared" si="356"/>
        <v>T10</v>
      </c>
      <c r="N1089" s="1" t="str">
        <f t="shared" si="339"/>
        <v>Y</v>
      </c>
      <c r="O1089" s="1" t="str">
        <f t="shared" si="355"/>
        <v>Y</v>
      </c>
      <c r="P1089" s="1" t="str">
        <f t="shared" si="341"/>
        <v>Y</v>
      </c>
      <c r="Q1089" s="1" t="str">
        <f>"R"</f>
        <v>R</v>
      </c>
    </row>
    <row r="1090" spans="1:17" x14ac:dyDescent="0.3">
      <c r="A1090" s="1" t="str">
        <f t="shared" si="354"/>
        <v>D1</v>
      </c>
      <c r="B1090" s="1" t="str">
        <f>"NHL404"</f>
        <v>NHL404</v>
      </c>
      <c r="C1090" s="1" t="str">
        <f>"(좌측)노인성난청 질환"</f>
        <v>(좌측)노인성난청 질환</v>
      </c>
      <c r="D1090" s="1" t="s">
        <v>349</v>
      </c>
      <c r="E1090" s="1" t="str">
        <f t="shared" si="358"/>
        <v>WOK02</v>
      </c>
      <c r="F1090" s="1" t="str">
        <f t="shared" si="359"/>
        <v>PTM0312</v>
      </c>
      <c r="G1090" s="1" t="str">
        <f t="shared" si="362"/>
        <v>DISH</v>
      </c>
      <c r="H1090" s="1" t="str">
        <f t="shared" si="360"/>
        <v>REL19</v>
      </c>
      <c r="I1090" s="1" t="str">
        <f t="shared" si="361"/>
        <v>01</v>
      </c>
      <c r="J1090" s="1" t="str">
        <f t="shared" si="357"/>
        <v>C55D</v>
      </c>
      <c r="K1090" s="1" t="str">
        <f t="shared" si="357"/>
        <v>C55D</v>
      </c>
      <c r="L1090" s="1" t="str">
        <f t="shared" si="337"/>
        <v>R</v>
      </c>
      <c r="M1090" s="1" t="str">
        <f t="shared" si="356"/>
        <v>T10</v>
      </c>
      <c r="N1090" s="1" t="str">
        <f t="shared" si="339"/>
        <v>Y</v>
      </c>
      <c r="O1090" s="1" t="str">
        <f t="shared" si="355"/>
        <v>Y</v>
      </c>
      <c r="P1090" s="1" t="str">
        <f t="shared" si="341"/>
        <v>Y</v>
      </c>
      <c r="Q1090" s="1" t="str">
        <f>"L"</f>
        <v>L</v>
      </c>
    </row>
    <row r="1091" spans="1:17" x14ac:dyDescent="0.3">
      <c r="A1091" s="1" t="str">
        <f t="shared" si="354"/>
        <v>D1</v>
      </c>
      <c r="B1091" s="1" t="str">
        <f>"NHL404R"</f>
        <v>NHL404R</v>
      </c>
      <c r="C1091" s="1" t="str">
        <f>"(우측)노인성난청 질환"</f>
        <v>(우측)노인성난청 질환</v>
      </c>
      <c r="D1091" s="1" t="s">
        <v>349</v>
      </c>
      <c r="E1091" s="1" t="str">
        <f t="shared" si="358"/>
        <v>WOK02</v>
      </c>
      <c r="F1091" s="1" t="str">
        <f t="shared" si="359"/>
        <v>PTM0312</v>
      </c>
      <c r="G1091" s="1" t="str">
        <f t="shared" si="362"/>
        <v>DISH</v>
      </c>
      <c r="H1091" s="1" t="str">
        <f t="shared" si="360"/>
        <v>REL19</v>
      </c>
      <c r="I1091" s="1" t="str">
        <f t="shared" si="361"/>
        <v>01</v>
      </c>
      <c r="J1091" s="1" t="str">
        <f t="shared" si="357"/>
        <v>C55D</v>
      </c>
      <c r="K1091" s="1" t="str">
        <f t="shared" si="357"/>
        <v>C55D</v>
      </c>
      <c r="L1091" s="1" t="str">
        <f t="shared" si="337"/>
        <v>R</v>
      </c>
      <c r="M1091" s="1" t="str">
        <f t="shared" si="356"/>
        <v>T10</v>
      </c>
      <c r="N1091" s="1" t="str">
        <f t="shared" si="339"/>
        <v>Y</v>
      </c>
      <c r="O1091" s="1" t="str">
        <f t="shared" si="355"/>
        <v>Y</v>
      </c>
      <c r="P1091" s="1" t="str">
        <f t="shared" si="341"/>
        <v>Y</v>
      </c>
      <c r="Q1091" s="1" t="str">
        <f>"R"</f>
        <v>R</v>
      </c>
    </row>
    <row r="1092" spans="1:17" x14ac:dyDescent="0.3">
      <c r="A1092" s="1" t="str">
        <f t="shared" si="354"/>
        <v>D1</v>
      </c>
      <c r="B1092" s="1" t="str">
        <f>"NHL405"</f>
        <v>NHL405</v>
      </c>
      <c r="C1092" s="1" t="str">
        <f>"(좌측)감각신경성난청 질환"</f>
        <v>(좌측)감각신경성난청 질환</v>
      </c>
      <c r="D1092" s="1" t="str">
        <f>"소음에 지속적으로 노출되면 소견이 악화될 수 있으므로 작업 중 귀마개 착용 바라며 이비인후과 진료 바랍니다."</f>
        <v>소음에 지속적으로 노출되면 소견이 악화될 수 있으므로 작업 중 귀마개 착용 바라며 이비인후과 진료 바랍니다.</v>
      </c>
      <c r="E1092" s="1" t="str">
        <f t="shared" si="358"/>
        <v>WOK02</v>
      </c>
      <c r="F1092" s="1" t="str">
        <f t="shared" si="359"/>
        <v>PTM0312</v>
      </c>
      <c r="G1092" s="1" t="str">
        <f t="shared" si="362"/>
        <v>DISH</v>
      </c>
      <c r="H1092" s="1" t="str">
        <f t="shared" si="360"/>
        <v>REL19</v>
      </c>
      <c r="I1092" s="1" t="str">
        <f t="shared" si="361"/>
        <v>01</v>
      </c>
      <c r="J1092" s="1" t="str">
        <f t="shared" si="357"/>
        <v>C55D</v>
      </c>
      <c r="K1092" s="1" t="str">
        <f t="shared" si="357"/>
        <v>C55D</v>
      </c>
      <c r="L1092" s="1" t="str">
        <f t="shared" si="337"/>
        <v>R</v>
      </c>
      <c r="M1092" s="1" t="str">
        <f t="shared" si="356"/>
        <v>T10</v>
      </c>
      <c r="N1092" s="1" t="str">
        <f t="shared" si="339"/>
        <v>Y</v>
      </c>
      <c r="O1092" s="1" t="str">
        <f t="shared" si="355"/>
        <v>Y</v>
      </c>
      <c r="P1092" s="1" t="str">
        <f t="shared" si="341"/>
        <v>Y</v>
      </c>
      <c r="Q1092" s="1" t="str">
        <f>"L"</f>
        <v>L</v>
      </c>
    </row>
    <row r="1093" spans="1:17" x14ac:dyDescent="0.3">
      <c r="A1093" s="1" t="str">
        <f t="shared" si="354"/>
        <v>D1</v>
      </c>
      <c r="B1093" s="1" t="str">
        <f>"NHL405R"</f>
        <v>NHL405R</v>
      </c>
      <c r="C1093" s="1" t="str">
        <f>"(좌측)감각신경성난청 질환"</f>
        <v>(좌측)감각신경성난청 질환</v>
      </c>
      <c r="D1093" s="1" t="str">
        <f>"소음에 지속적으로 노출되면 소견이 악화될 수 있으므로 작업 중 귀마개 착용 바라며 이비인후과 진료 바랍니다."</f>
        <v>소음에 지속적으로 노출되면 소견이 악화될 수 있으므로 작업 중 귀마개 착용 바라며 이비인후과 진료 바랍니다.</v>
      </c>
      <c r="E1093" s="1" t="str">
        <f t="shared" si="358"/>
        <v>WOK02</v>
      </c>
      <c r="F1093" s="1" t="str">
        <f t="shared" si="359"/>
        <v>PTM0312</v>
      </c>
      <c r="G1093" s="1" t="str">
        <f t="shared" si="362"/>
        <v>DISH</v>
      </c>
      <c r="H1093" s="1" t="str">
        <f t="shared" si="360"/>
        <v>REL19</v>
      </c>
      <c r="I1093" s="1" t="str">
        <f t="shared" si="361"/>
        <v>01</v>
      </c>
      <c r="J1093" s="1" t="str">
        <f t="shared" si="357"/>
        <v>C55D</v>
      </c>
      <c r="K1093" s="1" t="str">
        <f t="shared" si="357"/>
        <v>C55D</v>
      </c>
      <c r="L1093" s="1" t="str">
        <f t="shared" ref="L1093:L1156" si="363">"R"</f>
        <v>R</v>
      </c>
      <c r="M1093" s="1" t="str">
        <f t="shared" si="356"/>
        <v>T10</v>
      </c>
      <c r="N1093" s="1" t="str">
        <f t="shared" ref="N1093:N1156" si="364">"Y"</f>
        <v>Y</v>
      </c>
      <c r="O1093" s="1" t="str">
        <f t="shared" si="355"/>
        <v>Y</v>
      </c>
      <c r="P1093" s="1" t="str">
        <f t="shared" si="341"/>
        <v>Y</v>
      </c>
      <c r="Q1093" s="1" t="str">
        <f>"R"</f>
        <v>R</v>
      </c>
    </row>
    <row r="1094" spans="1:17" x14ac:dyDescent="0.3">
      <c r="A1094" s="1" t="str">
        <f t="shared" si="354"/>
        <v>D1</v>
      </c>
      <c r="B1094" s="1" t="str">
        <f>"PNM05"</f>
        <v>PNM05</v>
      </c>
      <c r="C1094" s="1" t="str">
        <f>"진폐증"</f>
        <v>진폐증</v>
      </c>
      <c r="D1094" s="1" t="str">
        <f>"진폐증으로 확진되신 분입니다. 진폐의 진행정도를 확인하기 위하여 진폐전문병에서 추적관찰하세요."</f>
        <v>진폐증으로 확진되신 분입니다. 진폐의 진행정도를 확인하기 위하여 진폐전문병에서 추적관찰하세요.</v>
      </c>
      <c r="E1094" s="1" t="str">
        <f>"WOK04"</f>
        <v>WOK04</v>
      </c>
      <c r="F1094" s="1" t="str">
        <f>"PTM06"</f>
        <v>PTM06</v>
      </c>
      <c r="G1094" s="1" t="str">
        <f>"DIS129"</f>
        <v>DIS129</v>
      </c>
      <c r="H1094" s="1" t="str">
        <f>"REL20"</f>
        <v>REL20</v>
      </c>
      <c r="I1094" s="1" t="str">
        <f>""</f>
        <v/>
      </c>
      <c r="J1094" s="1" t="str">
        <f>"진폐"</f>
        <v>진폐</v>
      </c>
      <c r="K1094" s="1" t="str">
        <f>"S01D"</f>
        <v>S01D</v>
      </c>
      <c r="L1094" s="1" t="str">
        <f t="shared" si="363"/>
        <v>R</v>
      </c>
      <c r="M1094" s="1" t="str">
        <f>"T04"</f>
        <v>T04</v>
      </c>
      <c r="N1094" s="1" t="str">
        <f t="shared" si="364"/>
        <v>Y</v>
      </c>
      <c r="O1094" s="1" t="str">
        <f t="shared" si="355"/>
        <v>Y</v>
      </c>
      <c r="P1094" s="1" t="str">
        <f t="shared" si="341"/>
        <v>Y</v>
      </c>
      <c r="Q1094" s="1" t="str">
        <f t="shared" ref="Q1094:Q1100" si="365">"A"</f>
        <v>A</v>
      </c>
    </row>
    <row r="1095" spans="1:17" x14ac:dyDescent="0.3">
      <c r="A1095" s="1" t="str">
        <f t="shared" si="354"/>
        <v>D1</v>
      </c>
      <c r="B1095" s="1" t="str">
        <f>"SEM101"</f>
        <v>SEM101</v>
      </c>
      <c r="C1095" s="1" t="str">
        <f>"납 과폭로 의심"</f>
        <v>납 과폭로 의심</v>
      </c>
      <c r="D1095" s="1" t="str">
        <f>"납에 과폭로된 상태입니다. 보호구착용 철저히 하시고 1개월 내 추적검사 받으세요."</f>
        <v>납에 과폭로된 상태입니다. 보호구착용 철저히 하시고 1개월 내 추적검사 받으세요.</v>
      </c>
      <c r="E1095" s="1" t="str">
        <f>""</f>
        <v/>
      </c>
      <c r="F1095" s="1" t="str">
        <f>""</f>
        <v/>
      </c>
      <c r="G1095" s="1" t="str">
        <f>""</f>
        <v/>
      </c>
      <c r="H1095" s="1" t="str">
        <f>""</f>
        <v/>
      </c>
      <c r="I1095" s="1" t="str">
        <f>""</f>
        <v/>
      </c>
      <c r="J1095" s="1" t="str">
        <f>""</f>
        <v/>
      </c>
      <c r="K1095" s="1" t="str">
        <f>""</f>
        <v/>
      </c>
      <c r="L1095" s="1" t="str">
        <f t="shared" si="363"/>
        <v>R</v>
      </c>
      <c r="M1095" s="1" t="str">
        <f>""</f>
        <v/>
      </c>
      <c r="N1095" s="1" t="str">
        <f t="shared" si="364"/>
        <v>Y</v>
      </c>
      <c r="O1095" s="1" t="str">
        <f t="shared" si="355"/>
        <v>Y</v>
      </c>
      <c r="P1095" s="1" t="str">
        <f t="shared" si="341"/>
        <v>Y</v>
      </c>
      <c r="Q1095" s="1" t="str">
        <f t="shared" si="365"/>
        <v>A</v>
      </c>
    </row>
    <row r="1096" spans="1:17" x14ac:dyDescent="0.3">
      <c r="A1096" s="1" t="str">
        <f t="shared" si="354"/>
        <v>D1</v>
      </c>
      <c r="B1096" s="1" t="str">
        <f>"SEM102"</f>
        <v>SEM102</v>
      </c>
      <c r="C1096" s="1" t="str">
        <f>"혈중카드뮴 초과"</f>
        <v>혈중카드뮴 초과</v>
      </c>
      <c r="D1096" s="1" t="str">
        <f>"카드뮴취급 작업배치제한 및 추적관찰 요함"</f>
        <v>카드뮴취급 작업배치제한 및 추적관찰 요함</v>
      </c>
      <c r="E1096" s="1" t="str">
        <f>"WOK03"</f>
        <v>WOK03</v>
      </c>
      <c r="F1096" s="1" t="str">
        <f>"PTM06"</f>
        <v>PTM06</v>
      </c>
      <c r="G1096" s="1" t="str">
        <f>"DIS308"</f>
        <v>DIS308</v>
      </c>
      <c r="H1096" s="1" t="str">
        <f>"REL16"</f>
        <v>REL16</v>
      </c>
      <c r="I1096" s="1" t="str">
        <f>"N0125"</f>
        <v>N0125</v>
      </c>
      <c r="J1096" s="1" t="str">
        <f t="shared" ref="J1096:K1099" si="366">"S01D"</f>
        <v>S01D</v>
      </c>
      <c r="K1096" s="1" t="str">
        <f t="shared" si="366"/>
        <v>S01D</v>
      </c>
      <c r="L1096" s="1" t="str">
        <f t="shared" si="363"/>
        <v>R</v>
      </c>
      <c r="M1096" s="1" t="str">
        <f>"T12"</f>
        <v>T12</v>
      </c>
      <c r="N1096" s="1" t="str">
        <f t="shared" si="364"/>
        <v>Y</v>
      </c>
      <c r="O1096" s="1" t="str">
        <f t="shared" si="355"/>
        <v>Y</v>
      </c>
      <c r="P1096" s="1" t="str">
        <f t="shared" si="341"/>
        <v>Y</v>
      </c>
      <c r="Q1096" s="1" t="str">
        <f t="shared" si="365"/>
        <v>A</v>
      </c>
    </row>
    <row r="1097" spans="1:17" x14ac:dyDescent="0.3">
      <c r="A1097" s="1" t="str">
        <f t="shared" si="354"/>
        <v>D1</v>
      </c>
      <c r="B1097" s="1" t="str">
        <f>"SEM111"</f>
        <v>SEM111</v>
      </c>
      <c r="C1097" s="1" t="str">
        <f>"요중마뇨산 초과"</f>
        <v>요중마뇨산 초과</v>
      </c>
      <c r="D1097" s="1" t="str">
        <f>"톨루엔취급 작업배치제한 및 추적관찰 요함"</f>
        <v>톨루엔취급 작업배치제한 및 추적관찰 요함</v>
      </c>
      <c r="E1097" s="1" t="str">
        <f>"WOK03"</f>
        <v>WOK03</v>
      </c>
      <c r="F1097" s="1" t="str">
        <f>"PTM07"</f>
        <v>PTM07</v>
      </c>
      <c r="G1097" s="1" t="str">
        <f>"DIS215"</f>
        <v>DIS215</v>
      </c>
      <c r="H1097" s="1" t="str">
        <f>"REL17"</f>
        <v>REL17</v>
      </c>
      <c r="I1097" s="1" t="str">
        <f>"N0010"</f>
        <v>N0010</v>
      </c>
      <c r="J1097" s="1" t="str">
        <f t="shared" si="366"/>
        <v>S01D</v>
      </c>
      <c r="K1097" s="1" t="str">
        <f t="shared" si="366"/>
        <v>S01D</v>
      </c>
      <c r="L1097" s="1" t="str">
        <f t="shared" si="363"/>
        <v>R</v>
      </c>
      <c r="M1097" s="1" t="str">
        <f>"T12"</f>
        <v>T12</v>
      </c>
      <c r="N1097" s="1" t="str">
        <f t="shared" si="364"/>
        <v>Y</v>
      </c>
      <c r="O1097" s="1" t="str">
        <f t="shared" si="355"/>
        <v>Y</v>
      </c>
      <c r="P1097" s="1" t="str">
        <f t="shared" si="341"/>
        <v>Y</v>
      </c>
      <c r="Q1097" s="1" t="str">
        <f t="shared" si="365"/>
        <v>A</v>
      </c>
    </row>
    <row r="1098" spans="1:17" x14ac:dyDescent="0.3">
      <c r="A1098" s="1" t="str">
        <f t="shared" si="354"/>
        <v>D1</v>
      </c>
      <c r="B1098" s="1" t="str">
        <f>"SEM112"</f>
        <v>SEM112</v>
      </c>
      <c r="C1098" s="1" t="str">
        <f>"요중메틸마뇨산 초과"</f>
        <v>요중메틸마뇨산 초과</v>
      </c>
      <c r="D1098" s="1" t="str">
        <f>"크실렌취급 작업배치제한 및 추적관찰 요함"</f>
        <v>크실렌취급 작업배치제한 및 추적관찰 요함</v>
      </c>
      <c r="E1098" s="1" t="str">
        <f>"WOK03"</f>
        <v>WOK03</v>
      </c>
      <c r="F1098" s="1" t="str">
        <f>"PTM07"</f>
        <v>PTM07</v>
      </c>
      <c r="G1098" s="1" t="str">
        <f>"DIS213"</f>
        <v>DIS213</v>
      </c>
      <c r="H1098" s="1" t="str">
        <f>"REL17"</f>
        <v>REL17</v>
      </c>
      <c r="I1098" s="1" t="str">
        <f>"N0083"</f>
        <v>N0083</v>
      </c>
      <c r="J1098" s="1" t="str">
        <f t="shared" si="366"/>
        <v>S01D</v>
      </c>
      <c r="K1098" s="1" t="str">
        <f t="shared" si="366"/>
        <v>S01D</v>
      </c>
      <c r="L1098" s="1" t="str">
        <f t="shared" si="363"/>
        <v>R</v>
      </c>
      <c r="M1098" s="1" t="str">
        <f>"T12"</f>
        <v>T12</v>
      </c>
      <c r="N1098" s="1" t="str">
        <f t="shared" si="364"/>
        <v>Y</v>
      </c>
      <c r="O1098" s="1" t="str">
        <f t="shared" si="355"/>
        <v>Y</v>
      </c>
      <c r="P1098" s="1" t="str">
        <f t="shared" ref="P1098:P1161" si="367">"Y"</f>
        <v>Y</v>
      </c>
      <c r="Q1098" s="1" t="str">
        <f t="shared" si="365"/>
        <v>A</v>
      </c>
    </row>
    <row r="1099" spans="1:17" x14ac:dyDescent="0.3">
      <c r="A1099" s="1" t="str">
        <f t="shared" si="354"/>
        <v>D1</v>
      </c>
      <c r="B1099" s="1" t="str">
        <f>"SEM113"</f>
        <v>SEM113</v>
      </c>
      <c r="C1099" s="1" t="str">
        <f>"요중총삼염화물 초과"</f>
        <v>요중총삼염화물 초과</v>
      </c>
      <c r="D1099" s="1" t="str">
        <f>"TCE취급 작업배치제한 및 추적관찰 요함"</f>
        <v>TCE취급 작업배치제한 및 추적관찰 요함</v>
      </c>
      <c r="E1099" s="1" t="str">
        <f>"WOK03"</f>
        <v>WOK03</v>
      </c>
      <c r="F1099" s="1" t="str">
        <f>"PTM07"</f>
        <v>PTM07</v>
      </c>
      <c r="G1099" s="1" t="str">
        <f>"DIS299"</f>
        <v>DIS299</v>
      </c>
      <c r="H1099" s="1" t="str">
        <f>"REL17"</f>
        <v>REL17</v>
      </c>
      <c r="I1099" s="1" t="str">
        <f>""</f>
        <v/>
      </c>
      <c r="J1099" s="1" t="str">
        <f t="shared" si="366"/>
        <v>S01D</v>
      </c>
      <c r="K1099" s="1" t="str">
        <f t="shared" si="366"/>
        <v>S01D</v>
      </c>
      <c r="L1099" s="1" t="str">
        <f t="shared" si="363"/>
        <v>R</v>
      </c>
      <c r="M1099" s="1" t="str">
        <f>"T12"</f>
        <v>T12</v>
      </c>
      <c r="N1099" s="1" t="str">
        <f t="shared" si="364"/>
        <v>Y</v>
      </c>
      <c r="O1099" s="1" t="str">
        <f t="shared" si="355"/>
        <v>Y</v>
      </c>
      <c r="P1099" s="1" t="str">
        <f t="shared" si="367"/>
        <v>Y</v>
      </c>
      <c r="Q1099" s="1" t="str">
        <f t="shared" si="365"/>
        <v>A</v>
      </c>
    </row>
    <row r="1100" spans="1:17" x14ac:dyDescent="0.3">
      <c r="A1100" s="1" t="str">
        <f t="shared" ref="A1100:A1131" si="368">"D2"</f>
        <v>D2</v>
      </c>
      <c r="B1100" s="1" t="str">
        <f>"AAC203"</f>
        <v>AAC203</v>
      </c>
      <c r="C1100" s="1" t="str">
        <f>"청력저하"</f>
        <v>청력저하</v>
      </c>
      <c r="D1100" s="1" t="str">
        <f>"고도의 청력저하가 있습니다. 일상생활 및 업무 중 사고에 주의바라며 이비인후과 진료 바랍니다."</f>
        <v>고도의 청력저하가 있습니다. 일상생활 및 업무 중 사고에 주의바라며 이비인후과 진료 바랍니다.</v>
      </c>
      <c r="E1100" s="1" t="str">
        <f t="shared" ref="E1100:E1105" si="369">"WOK02"</f>
        <v>WOK02</v>
      </c>
      <c r="F1100" s="1" t="str">
        <f>"PTM01"</f>
        <v>PTM01</v>
      </c>
      <c r="G1100" s="1" t="str">
        <f>"DISH"</f>
        <v>DISH</v>
      </c>
      <c r="H1100" s="1" t="str">
        <f>"REL19"</f>
        <v>REL19</v>
      </c>
      <c r="I1100" s="1" t="str">
        <f>""</f>
        <v/>
      </c>
      <c r="J1100" s="1" t="str">
        <f>"C55C"</f>
        <v>C55C</v>
      </c>
      <c r="K1100" s="1" t="str">
        <f>"C55C"</f>
        <v>C55C</v>
      </c>
      <c r="L1100" s="1" t="str">
        <f t="shared" si="363"/>
        <v>R</v>
      </c>
      <c r="M1100" s="1" t="str">
        <f>"T10"</f>
        <v>T10</v>
      </c>
      <c r="N1100" s="1" t="str">
        <f t="shared" si="364"/>
        <v>Y</v>
      </c>
      <c r="O1100" s="1" t="str">
        <f t="shared" si="355"/>
        <v>Y</v>
      </c>
      <c r="P1100" s="1" t="str">
        <f t="shared" si="367"/>
        <v>Y</v>
      </c>
      <c r="Q1100" s="1" t="str">
        <f t="shared" si="365"/>
        <v>A</v>
      </c>
    </row>
    <row r="1101" spans="1:17" x14ac:dyDescent="0.3">
      <c r="A1101" s="1" t="str">
        <f t="shared" si="368"/>
        <v>D2</v>
      </c>
      <c r="B1101" s="1" t="str">
        <f>"AAC203T1"</f>
        <v>AAC203T1</v>
      </c>
      <c r="C1101" s="1" t="str">
        <f>"청력저하(좌측)"</f>
        <v>청력저하(좌측)</v>
      </c>
      <c r="D1101" s="1" t="str">
        <f>"청력저하가 심한 편입니다. 일상생활 및 업무 중 사고에 주의하세요. 귀질환(중이염 등) 진단을 받으신 질환이 없으시면 이비인후과에서 상담을 받아보시기 바랍니다."</f>
        <v>청력저하가 심한 편입니다. 일상생활 및 업무 중 사고에 주의하세요. 귀질환(중이염 등) 진단을 받으신 질환이 없으시면 이비인후과에서 상담을 받아보시기 바랍니다.</v>
      </c>
      <c r="E1101" s="1" t="str">
        <f t="shared" si="369"/>
        <v>WOK02</v>
      </c>
      <c r="F1101" s="1" t="str">
        <f>"PTM01"</f>
        <v>PTM01</v>
      </c>
      <c r="G1101" s="1" t="str">
        <f>"DISH"</f>
        <v>DISH</v>
      </c>
      <c r="H1101" s="1" t="str">
        <f>"REL19"</f>
        <v>REL19</v>
      </c>
      <c r="I1101" s="1" t="str">
        <f>""</f>
        <v/>
      </c>
      <c r="J1101" s="1" t="str">
        <f>"C38D"</f>
        <v>C38D</v>
      </c>
      <c r="K1101" s="1" t="str">
        <f>"C38D"</f>
        <v>C38D</v>
      </c>
      <c r="L1101" s="1" t="str">
        <f t="shared" si="363"/>
        <v>R</v>
      </c>
      <c r="M1101" s="1" t="str">
        <f>"T10"</f>
        <v>T10</v>
      </c>
      <c r="N1101" s="1" t="str">
        <f t="shared" si="364"/>
        <v>Y</v>
      </c>
      <c r="O1101" s="1" t="str">
        <f t="shared" si="355"/>
        <v>Y</v>
      </c>
      <c r="P1101" s="1" t="str">
        <f t="shared" si="367"/>
        <v>Y</v>
      </c>
      <c r="Q1101" s="1" t="str">
        <f>"L"</f>
        <v>L</v>
      </c>
    </row>
    <row r="1102" spans="1:17" x14ac:dyDescent="0.3">
      <c r="A1102" s="1" t="str">
        <f t="shared" si="368"/>
        <v>D2</v>
      </c>
      <c r="B1102" s="1" t="str">
        <f>"AAC203T2"</f>
        <v>AAC203T2</v>
      </c>
      <c r="C1102" s="1" t="str">
        <f>"청력저하(우측)"</f>
        <v>청력저하(우측)</v>
      </c>
      <c r="D1102" s="1" t="str">
        <f>"청력저하가 심한 편입니다. 일상생활 및 업무 중 사고에 주의하세요. 귀질환(중이염 등) 진단을 받으신 질환이 없으시면 이비인후과에서 상담을 받아보시기 바랍니다."</f>
        <v>청력저하가 심한 편입니다. 일상생활 및 업무 중 사고에 주의하세요. 귀질환(중이염 등) 진단을 받으신 질환이 없으시면 이비인후과에서 상담을 받아보시기 바랍니다.</v>
      </c>
      <c r="E1102" s="1" t="str">
        <f t="shared" si="369"/>
        <v>WOK02</v>
      </c>
      <c r="F1102" s="1" t="str">
        <f>"PTM01"</f>
        <v>PTM01</v>
      </c>
      <c r="G1102" s="1" t="str">
        <f>"DISH"</f>
        <v>DISH</v>
      </c>
      <c r="H1102" s="1" t="str">
        <f>"REL19"</f>
        <v>REL19</v>
      </c>
      <c r="I1102" s="1" t="str">
        <f>""</f>
        <v/>
      </c>
      <c r="J1102" s="1" t="str">
        <f>"C55D"</f>
        <v>C55D</v>
      </c>
      <c r="K1102" s="1" t="str">
        <f>"C55D"</f>
        <v>C55D</v>
      </c>
      <c r="L1102" s="1" t="str">
        <f t="shared" si="363"/>
        <v>R</v>
      </c>
      <c r="M1102" s="1" t="str">
        <f>"T10"</f>
        <v>T10</v>
      </c>
      <c r="N1102" s="1" t="str">
        <f t="shared" si="364"/>
        <v>Y</v>
      </c>
      <c r="O1102" s="1" t="str">
        <f t="shared" si="355"/>
        <v>Y</v>
      </c>
      <c r="P1102" s="1" t="str">
        <f t="shared" si="367"/>
        <v>Y</v>
      </c>
      <c r="Q1102" s="1" t="str">
        <f>"R"</f>
        <v>R</v>
      </c>
    </row>
    <row r="1103" spans="1:17" x14ac:dyDescent="0.3">
      <c r="A1103" s="1" t="str">
        <f t="shared" si="368"/>
        <v>D2</v>
      </c>
      <c r="B1103" s="1" t="str">
        <f>"AAC204"</f>
        <v>AAC204</v>
      </c>
      <c r="C1103" s="1" t="str">
        <f>"청력저하(청각장애)"</f>
        <v>청력저하(청각장애)</v>
      </c>
      <c r="D1103" s="1" t="str">
        <f>"일상생활 및 작업 중 사고에 주의하세요."</f>
        <v>일상생활 및 작업 중 사고에 주의하세요.</v>
      </c>
      <c r="E1103" s="1" t="str">
        <f t="shared" si="369"/>
        <v>WOK02</v>
      </c>
      <c r="F1103" s="1" t="str">
        <f>"PTM01"</f>
        <v>PTM01</v>
      </c>
      <c r="G1103" s="1" t="str">
        <f>"DISH"</f>
        <v>DISH</v>
      </c>
      <c r="H1103" s="1" t="str">
        <f>"REL19"</f>
        <v>REL19</v>
      </c>
      <c r="I1103" s="1" t="str">
        <f>""</f>
        <v/>
      </c>
      <c r="J1103" s="1" t="str">
        <f>"C38D"</f>
        <v>C38D</v>
      </c>
      <c r="K1103" s="1" t="str">
        <f>"C38D"</f>
        <v>C38D</v>
      </c>
      <c r="L1103" s="1" t="str">
        <f t="shared" si="363"/>
        <v>R</v>
      </c>
      <c r="M1103" s="1" t="str">
        <f>"T10"</f>
        <v>T10</v>
      </c>
      <c r="N1103" s="1" t="str">
        <f t="shared" si="364"/>
        <v>Y</v>
      </c>
      <c r="O1103" s="1" t="str">
        <f t="shared" si="355"/>
        <v>Y</v>
      </c>
      <c r="P1103" s="1" t="str">
        <f t="shared" si="367"/>
        <v>Y</v>
      </c>
      <c r="Q1103" s="1" t="str">
        <f t="shared" ref="Q1103:Q1133" si="370">"A"</f>
        <v>A</v>
      </c>
    </row>
    <row r="1104" spans="1:17" x14ac:dyDescent="0.3">
      <c r="A1104" s="1" t="str">
        <f t="shared" si="368"/>
        <v>D2</v>
      </c>
      <c r="B1104" s="1" t="str">
        <f>"ANE401"</f>
        <v>ANE401</v>
      </c>
      <c r="C1104" s="1" t="str">
        <f>"빈혈"</f>
        <v>빈혈</v>
      </c>
      <c r="D1104" s="1" t="str">
        <f>"빈혈에 대한 원인검사 및 치료를 위해 혈액내과 진료를 받으세요."</f>
        <v>빈혈에 대한 원인검사 및 치료를 위해 혈액내과 진료를 받으세요.</v>
      </c>
      <c r="E1104" s="1" t="str">
        <f t="shared" si="369"/>
        <v>WOK02</v>
      </c>
      <c r="F1104" s="1" t="str">
        <f t="shared" ref="F1104:F1109" si="371">"PTM04"</f>
        <v>PTM04</v>
      </c>
      <c r="G1104" s="1" t="str">
        <f>"DISD"</f>
        <v>DISD</v>
      </c>
      <c r="H1104" s="1" t="str">
        <f>"REL12"</f>
        <v>REL12</v>
      </c>
      <c r="I1104" s="1" t="str">
        <f>""</f>
        <v/>
      </c>
      <c r="J1104" s="1" t="str">
        <f>"C08D"</f>
        <v>C08D</v>
      </c>
      <c r="K1104" s="1" t="str">
        <f>"C08D"</f>
        <v>C08D</v>
      </c>
      <c r="L1104" s="1" t="str">
        <f t="shared" si="363"/>
        <v>R</v>
      </c>
      <c r="M1104" s="1" t="str">
        <f>"T01"</f>
        <v>T01</v>
      </c>
      <c r="N1104" s="1" t="str">
        <f t="shared" si="364"/>
        <v>Y</v>
      </c>
      <c r="O1104" s="1" t="str">
        <f t="shared" si="355"/>
        <v>Y</v>
      </c>
      <c r="P1104" s="1" t="str">
        <f t="shared" si="367"/>
        <v>Y</v>
      </c>
      <c r="Q1104" s="1" t="str">
        <f t="shared" si="370"/>
        <v>A</v>
      </c>
    </row>
    <row r="1105" spans="1:17" x14ac:dyDescent="0.3">
      <c r="A1105" s="1" t="str">
        <f t="shared" si="368"/>
        <v>D2</v>
      </c>
      <c r="B1105" s="1" t="str">
        <f>"ANE402"</f>
        <v>ANE402</v>
      </c>
      <c r="C1105" s="1" t="str">
        <f>"철결핍성빈혈"</f>
        <v>철결핍성빈혈</v>
      </c>
      <c r="D1105" s="1" t="str">
        <f>"철분과 단백질이 풍부한 음식을 섭취하시고 빈혈 치료가 필요합니다."</f>
        <v>철분과 단백질이 풍부한 음식을 섭취하시고 빈혈 치료가 필요합니다.</v>
      </c>
      <c r="E1105" s="1" t="str">
        <f t="shared" si="369"/>
        <v>WOK02</v>
      </c>
      <c r="F1105" s="1" t="str">
        <f t="shared" si="371"/>
        <v>PTM04</v>
      </c>
      <c r="G1105" s="1" t="str">
        <f>"DISD"</f>
        <v>DISD</v>
      </c>
      <c r="H1105" s="1" t="str">
        <f>"REL12"</f>
        <v>REL12</v>
      </c>
      <c r="I1105" s="1" t="str">
        <f>""</f>
        <v/>
      </c>
      <c r="J1105" s="1" t="str">
        <f>"C08D"</f>
        <v>C08D</v>
      </c>
      <c r="K1105" s="1" t="str">
        <f>"C08D"</f>
        <v>C08D</v>
      </c>
      <c r="L1105" s="1" t="str">
        <f t="shared" si="363"/>
        <v>R</v>
      </c>
      <c r="M1105" s="1" t="str">
        <f>"T01"</f>
        <v>T01</v>
      </c>
      <c r="N1105" s="1" t="str">
        <f t="shared" si="364"/>
        <v>Y</v>
      </c>
      <c r="O1105" s="1" t="str">
        <f t="shared" si="355"/>
        <v>Y</v>
      </c>
      <c r="P1105" s="1" t="str">
        <f t="shared" si="367"/>
        <v>Y</v>
      </c>
      <c r="Q1105" s="1" t="str">
        <f t="shared" si="370"/>
        <v>A</v>
      </c>
    </row>
    <row r="1106" spans="1:17" x14ac:dyDescent="0.3">
      <c r="A1106" s="1" t="str">
        <f t="shared" si="368"/>
        <v>D2</v>
      </c>
      <c r="B1106" s="1" t="str">
        <f>"ANELT4"</f>
        <v>ANELT4</v>
      </c>
      <c r="C1106" s="1" t="str">
        <f>"빈혈의심(유기화합물에 의한)"</f>
        <v>빈혈의심(유기화합물에 의한)</v>
      </c>
      <c r="D1106" s="1" t="str">
        <f>"빈혈에 대한 재검사를 받으시고 유기화합물 취급 업무시 보호구착용을 철저히 하세요."</f>
        <v>빈혈에 대한 재검사를 받으시고 유기화합물 취급 업무시 보호구착용을 철저히 하세요.</v>
      </c>
      <c r="E1106" s="1" t="str">
        <f>"WOK04"</f>
        <v>WOK04</v>
      </c>
      <c r="F1106" s="1" t="str">
        <f t="shared" si="371"/>
        <v>PTM04</v>
      </c>
      <c r="G1106" s="1" t="str">
        <f>"DISD"</f>
        <v>DISD</v>
      </c>
      <c r="H1106" s="1" t="str">
        <f>"REL12"</f>
        <v>REL12</v>
      </c>
      <c r="I1106" s="1" t="str">
        <f>""</f>
        <v/>
      </c>
      <c r="J1106" s="1" t="str">
        <f>"S01R"</f>
        <v>S01R</v>
      </c>
      <c r="K1106" s="1" t="str">
        <f>"S01R"</f>
        <v>S01R</v>
      </c>
      <c r="L1106" s="1" t="str">
        <f t="shared" si="363"/>
        <v>R</v>
      </c>
      <c r="M1106" s="1" t="str">
        <f>"T01"</f>
        <v>T01</v>
      </c>
      <c r="N1106" s="1" t="str">
        <f t="shared" si="364"/>
        <v>Y</v>
      </c>
      <c r="O1106" s="1" t="str">
        <f t="shared" si="355"/>
        <v>Y</v>
      </c>
      <c r="P1106" s="1" t="str">
        <f t="shared" si="367"/>
        <v>Y</v>
      </c>
      <c r="Q1106" s="1" t="str">
        <f t="shared" si="370"/>
        <v>A</v>
      </c>
    </row>
    <row r="1107" spans="1:17" x14ac:dyDescent="0.3">
      <c r="A1107" s="1" t="str">
        <f t="shared" si="368"/>
        <v>D2</v>
      </c>
      <c r="B1107" s="1" t="str">
        <f>"ASM402"</f>
        <v>ASM402</v>
      </c>
      <c r="C1107" s="1" t="str">
        <f>"천식"</f>
        <v>천식</v>
      </c>
      <c r="D1107" s="1" t="str">
        <f>"천식에 대한 치료를 잘 받으세요. 업무시 천식 증상이 악화되면 직업환경의학과 진료를 받으시기 바랍니다."</f>
        <v>천식에 대한 치료를 잘 받으세요. 업무시 천식 증상이 악화되면 직업환경의학과 진료를 받으시기 바랍니다.</v>
      </c>
      <c r="E1107" s="1" t="str">
        <f t="shared" ref="E1107:E1125" si="372">"WOK02"</f>
        <v>WOK02</v>
      </c>
      <c r="F1107" s="1" t="str">
        <f t="shared" si="371"/>
        <v>PTM04</v>
      </c>
      <c r="G1107" s="1" t="str">
        <f>"DISJ"</f>
        <v>DISJ</v>
      </c>
      <c r="H1107" s="1" t="str">
        <f>"REL15"</f>
        <v>REL15</v>
      </c>
      <c r="I1107" s="1" t="str">
        <f>""</f>
        <v/>
      </c>
      <c r="J1107" s="1" t="str">
        <f>"C40D"</f>
        <v>C40D</v>
      </c>
      <c r="K1107" s="1" t="str">
        <f>"C40D"</f>
        <v>C40D</v>
      </c>
      <c r="L1107" s="1" t="str">
        <f t="shared" si="363"/>
        <v>R</v>
      </c>
      <c r="M1107" s="1" t="str">
        <f>"T04"</f>
        <v>T04</v>
      </c>
      <c r="N1107" s="1" t="str">
        <f t="shared" si="364"/>
        <v>Y</v>
      </c>
      <c r="O1107" s="1" t="str">
        <f t="shared" si="355"/>
        <v>Y</v>
      </c>
      <c r="P1107" s="1" t="str">
        <f t="shared" si="367"/>
        <v>Y</v>
      </c>
      <c r="Q1107" s="1" t="str">
        <f t="shared" si="370"/>
        <v>A</v>
      </c>
    </row>
    <row r="1108" spans="1:17" x14ac:dyDescent="0.3">
      <c r="A1108" s="1" t="str">
        <f t="shared" si="368"/>
        <v>D2</v>
      </c>
      <c r="B1108" s="1" t="str">
        <f>"B130602"</f>
        <v>B130602</v>
      </c>
      <c r="C1108" s="1" t="str">
        <f>"당뇨병 질환"</f>
        <v>당뇨병 질환</v>
      </c>
      <c r="D1108" s="1" t="str">
        <f>"소변검사에서 요당이 다량 검출됩니다. 당뇨병 등 기저질환에 의한 증상일 가능성이 높습니다. 내과 내원하여 진료 바랍니다."</f>
        <v>소변검사에서 요당이 다량 검출됩니다. 당뇨병 등 기저질환에 의한 증상일 가능성이 높습니다. 내과 내원하여 진료 바랍니다.</v>
      </c>
      <c r="E1108" s="1" t="str">
        <f t="shared" si="372"/>
        <v>WOK02</v>
      </c>
      <c r="F1108" s="1" t="str">
        <f t="shared" si="371"/>
        <v>PTM04</v>
      </c>
      <c r="G1108" s="1" t="str">
        <f>"DISE"</f>
        <v>DISE</v>
      </c>
      <c r="H1108" s="1" t="str">
        <f>"REL23"</f>
        <v>REL23</v>
      </c>
      <c r="I1108" s="1" t="str">
        <f>""</f>
        <v/>
      </c>
      <c r="J1108" s="1" t="str">
        <f>"C06D"</f>
        <v>C06D</v>
      </c>
      <c r="K1108" s="1" t="str">
        <f>"C05D"</f>
        <v>C05D</v>
      </c>
      <c r="L1108" s="1" t="str">
        <f t="shared" si="363"/>
        <v>R</v>
      </c>
      <c r="M1108" s="1" t="str">
        <f>"T05"</f>
        <v>T05</v>
      </c>
      <c r="N1108" s="1" t="str">
        <f t="shared" si="364"/>
        <v>Y</v>
      </c>
      <c r="O1108" s="1" t="str">
        <f t="shared" si="355"/>
        <v>Y</v>
      </c>
      <c r="P1108" s="1" t="str">
        <f t="shared" si="367"/>
        <v>Y</v>
      </c>
      <c r="Q1108" s="1" t="str">
        <f t="shared" si="370"/>
        <v>A</v>
      </c>
    </row>
    <row r="1109" spans="1:17" x14ac:dyDescent="0.3">
      <c r="A1109" s="1" t="str">
        <f t="shared" si="368"/>
        <v>D2</v>
      </c>
      <c r="B1109" s="1" t="str">
        <f>"B271004"</f>
        <v>B271004</v>
      </c>
      <c r="C1109" s="1" t="str">
        <f>"간기능 이상 의심"</f>
        <v>간기능 이상 의심</v>
      </c>
      <c r="D1109" s="1" t="s">
        <v>350</v>
      </c>
      <c r="E1109" s="1" t="str">
        <f t="shared" si="372"/>
        <v>WOK02</v>
      </c>
      <c r="F1109" s="1" t="str">
        <f t="shared" si="371"/>
        <v>PTM04</v>
      </c>
      <c r="G1109" s="1" t="str">
        <f>"DISK"</f>
        <v>DISK</v>
      </c>
      <c r="H1109" s="1" t="str">
        <f>"REL05"</f>
        <v>REL05</v>
      </c>
      <c r="I1109" s="1" t="str">
        <f>""</f>
        <v/>
      </c>
      <c r="J1109" s="1" t="str">
        <f>"C05C"</f>
        <v>C05C</v>
      </c>
      <c r="K1109" s="1" t="str">
        <f>"C05D"</f>
        <v>C05D</v>
      </c>
      <c r="L1109" s="1" t="str">
        <f t="shared" si="363"/>
        <v>R</v>
      </c>
      <c r="M1109" s="1" t="str">
        <f>"T02"</f>
        <v>T02</v>
      </c>
      <c r="N1109" s="1" t="str">
        <f t="shared" si="364"/>
        <v>Y</v>
      </c>
      <c r="O1109" s="1" t="str">
        <f t="shared" ref="O1109:O1140" si="373">"Y"</f>
        <v>Y</v>
      </c>
      <c r="P1109" s="1" t="str">
        <f t="shared" si="367"/>
        <v>Y</v>
      </c>
      <c r="Q1109" s="1" t="str">
        <f t="shared" si="370"/>
        <v>A</v>
      </c>
    </row>
    <row r="1110" spans="1:17" x14ac:dyDescent="0.3">
      <c r="A1110" s="1" t="str">
        <f t="shared" si="368"/>
        <v>D2</v>
      </c>
      <c r="B1110" s="1" t="str">
        <f>"CAN303"</f>
        <v>CAN303</v>
      </c>
      <c r="C1110" s="1" t="str">
        <f>"췌장 질환의심"</f>
        <v>췌장 질환의심</v>
      </c>
      <c r="D1110" s="1" t="str">
        <f>"CA-19-9검사는 췌장의 질환이나 다른 양성질환에 의해서 수치가 증가할 수 있습니다. 내분비내과 진료를 통한 정확 진단 및 치료를 받으세요."</f>
        <v>CA-19-9검사는 췌장의 질환이나 다른 양성질환에 의해서 수치가 증가할 수 있습니다. 내분비내과 진료를 통한 정확 진단 및 치료를 받으세요.</v>
      </c>
      <c r="E1110" s="1" t="str">
        <f t="shared" si="372"/>
        <v>WOK02</v>
      </c>
      <c r="F1110" s="1" t="str">
        <f>"PTM03"</f>
        <v>PTM03</v>
      </c>
      <c r="G1110" s="1" t="str">
        <f>"DISK"</f>
        <v>DISK</v>
      </c>
      <c r="H1110" s="1" t="str">
        <f>"REL23"</f>
        <v>REL23</v>
      </c>
      <c r="I1110" s="1" t="str">
        <f>""</f>
        <v/>
      </c>
      <c r="J1110" s="1" t="str">
        <f>"C35D"</f>
        <v>C35D</v>
      </c>
      <c r="K1110" s="1" t="str">
        <f>"C35D"</f>
        <v>C35D</v>
      </c>
      <c r="L1110" s="1" t="str">
        <f t="shared" si="363"/>
        <v>R</v>
      </c>
      <c r="M1110" s="1" t="str">
        <f>""</f>
        <v/>
      </c>
      <c r="N1110" s="1" t="str">
        <f t="shared" si="364"/>
        <v>Y</v>
      </c>
      <c r="O1110" s="1" t="str">
        <f t="shared" si="373"/>
        <v>Y</v>
      </c>
      <c r="P1110" s="1" t="str">
        <f t="shared" si="367"/>
        <v>Y</v>
      </c>
      <c r="Q1110" s="1" t="str">
        <f t="shared" si="370"/>
        <v>A</v>
      </c>
    </row>
    <row r="1111" spans="1:17" x14ac:dyDescent="0.3">
      <c r="A1111" s="1" t="str">
        <f t="shared" si="368"/>
        <v>D2</v>
      </c>
      <c r="B1111" s="1" t="str">
        <f>"CFSD010"</f>
        <v>CFSD010</v>
      </c>
      <c r="C1111" s="1" t="str">
        <f>"대장 수술 후 상태"</f>
        <v>대장 수술 후 상태</v>
      </c>
      <c r="D1111" s="1" t="str">
        <f>"▶대장내시경 검사에서 대장 수술 후 상태로 관찰됩니다. 기존 질환의 재발 소견은 보이지 않습니다. 정기적으로 추적관찰하시기 바랍니다."</f>
        <v>▶대장내시경 검사에서 대장 수술 후 상태로 관찰됩니다. 기존 질환의 재발 소견은 보이지 않습니다. 정기적으로 추적관찰하시기 바랍니다.</v>
      </c>
      <c r="E1111" s="1" t="str">
        <f t="shared" si="372"/>
        <v>WOK02</v>
      </c>
      <c r="F1111" s="1" t="str">
        <f t="shared" ref="F1111:F1117" si="374">"PTM04"</f>
        <v>PTM04</v>
      </c>
      <c r="G1111" s="1" t="str">
        <f>""</f>
        <v/>
      </c>
      <c r="H1111" s="1" t="str">
        <f>"REL37"</f>
        <v>REL37</v>
      </c>
      <c r="I1111" s="1" t="str">
        <f>""</f>
        <v/>
      </c>
      <c r="J1111" s="1" t="str">
        <f>""</f>
        <v/>
      </c>
      <c r="K1111" s="1" t="str">
        <f>""</f>
        <v/>
      </c>
      <c r="L1111" s="1" t="str">
        <f t="shared" si="363"/>
        <v>R</v>
      </c>
      <c r="M1111" s="1" t="str">
        <f>"T20"</f>
        <v>T20</v>
      </c>
      <c r="N1111" s="1" t="str">
        <f t="shared" si="364"/>
        <v>Y</v>
      </c>
      <c r="O1111" s="1" t="str">
        <f t="shared" si="373"/>
        <v>Y</v>
      </c>
      <c r="P1111" s="1" t="str">
        <f t="shared" si="367"/>
        <v>Y</v>
      </c>
      <c r="Q1111" s="1" t="str">
        <f t="shared" si="370"/>
        <v>A</v>
      </c>
    </row>
    <row r="1112" spans="1:17" x14ac:dyDescent="0.3">
      <c r="A1112" s="1" t="str">
        <f t="shared" si="368"/>
        <v>D2</v>
      </c>
      <c r="B1112" s="1" t="str">
        <f>"DER402"</f>
        <v>DER402</v>
      </c>
      <c r="C1112" s="1" t="str">
        <f>"피부질환"</f>
        <v>피부질환</v>
      </c>
      <c r="D1112" s="1" t="str">
        <f>"피부과진료 요함"</f>
        <v>피부과진료 요함</v>
      </c>
      <c r="E1112" s="1" t="str">
        <f t="shared" si="372"/>
        <v>WOK02</v>
      </c>
      <c r="F1112" s="1" t="str">
        <f t="shared" si="374"/>
        <v>PTM04</v>
      </c>
      <c r="G1112" s="1" t="str">
        <f>"DISL"</f>
        <v>DISL</v>
      </c>
      <c r="H1112" s="1" t="str">
        <f>"REL13"</f>
        <v>REL13</v>
      </c>
      <c r="I1112" s="1" t="str">
        <f>""</f>
        <v/>
      </c>
      <c r="J1112" s="1" t="str">
        <f>"C42D"</f>
        <v>C42D</v>
      </c>
      <c r="K1112" s="1" t="str">
        <f>"C42D"</f>
        <v>C42D</v>
      </c>
      <c r="L1112" s="1" t="str">
        <f t="shared" si="363"/>
        <v>R</v>
      </c>
      <c r="M1112" s="1" t="str">
        <f>"T08"</f>
        <v>T08</v>
      </c>
      <c r="N1112" s="1" t="str">
        <f t="shared" si="364"/>
        <v>Y</v>
      </c>
      <c r="O1112" s="1" t="str">
        <f t="shared" si="373"/>
        <v>Y</v>
      </c>
      <c r="P1112" s="1" t="str">
        <f t="shared" si="367"/>
        <v>Y</v>
      </c>
      <c r="Q1112" s="1" t="str">
        <f t="shared" si="370"/>
        <v>A</v>
      </c>
    </row>
    <row r="1113" spans="1:17" x14ac:dyDescent="0.3">
      <c r="A1113" s="1" t="str">
        <f t="shared" si="368"/>
        <v>D2</v>
      </c>
      <c r="B1113" s="1" t="str">
        <f>"DES401"</f>
        <v>DES401</v>
      </c>
      <c r="C1113" s="1" t="str">
        <f>"안구건조증"</f>
        <v>안구건조증</v>
      </c>
      <c r="D1113" s="1" t="str">
        <f>"안구건조증에 대한 치료를 위해 안과진료받으세요."</f>
        <v>안구건조증에 대한 치료를 위해 안과진료받으세요.</v>
      </c>
      <c r="E1113" s="1" t="str">
        <f t="shared" si="372"/>
        <v>WOK02</v>
      </c>
      <c r="F1113" s="1" t="str">
        <f t="shared" si="374"/>
        <v>PTM04</v>
      </c>
      <c r="G1113" s="1" t="str">
        <f>"DISH"</f>
        <v>DISH</v>
      </c>
      <c r="H1113" s="1" t="str">
        <f>"REL14"</f>
        <v>REL14</v>
      </c>
      <c r="I1113" s="1" t="str">
        <f>""</f>
        <v/>
      </c>
      <c r="J1113" s="1" t="str">
        <f>"C38D"</f>
        <v>C38D</v>
      </c>
      <c r="K1113" s="1" t="str">
        <f>"C38D"</f>
        <v>C38D</v>
      </c>
      <c r="L1113" s="1" t="str">
        <f t="shared" si="363"/>
        <v>R</v>
      </c>
      <c r="M1113" s="1" t="str">
        <f>"T09"</f>
        <v>T09</v>
      </c>
      <c r="N1113" s="1" t="str">
        <f t="shared" si="364"/>
        <v>Y</v>
      </c>
      <c r="O1113" s="1" t="str">
        <f t="shared" si="373"/>
        <v>Y</v>
      </c>
      <c r="P1113" s="1" t="str">
        <f t="shared" si="367"/>
        <v>Y</v>
      </c>
      <c r="Q1113" s="1" t="str">
        <f t="shared" si="370"/>
        <v>A</v>
      </c>
    </row>
    <row r="1114" spans="1:17" x14ac:dyDescent="0.3">
      <c r="A1114" s="1" t="str">
        <f t="shared" si="368"/>
        <v>D2</v>
      </c>
      <c r="B1114" s="1" t="str">
        <f>"EKG207"</f>
        <v>EKG207</v>
      </c>
      <c r="C1114" s="1" t="str">
        <f>"좌심실 비대 의심"</f>
        <v>좌심실 비대 의심</v>
      </c>
      <c r="D1114" s="1" t="s">
        <v>351</v>
      </c>
      <c r="E1114" s="1" t="str">
        <f t="shared" si="372"/>
        <v>WOK02</v>
      </c>
      <c r="F1114" s="1" t="str">
        <f t="shared" si="374"/>
        <v>PTM04</v>
      </c>
      <c r="G1114" s="1" t="str">
        <f t="shared" ref="G1114:G1127" si="375">"DISI"</f>
        <v>DISI</v>
      </c>
      <c r="H1114" s="1" t="str">
        <f t="shared" ref="H1114:H1127" si="376">"REL06"</f>
        <v>REL06</v>
      </c>
      <c r="I1114" s="1" t="str">
        <f>""</f>
        <v/>
      </c>
      <c r="J1114" s="1" t="str">
        <f t="shared" ref="J1114:K1127" si="377">"C39D"</f>
        <v>C39D</v>
      </c>
      <c r="K1114" s="1" t="str">
        <f t="shared" si="377"/>
        <v>C39D</v>
      </c>
      <c r="L1114" s="1" t="str">
        <f t="shared" si="363"/>
        <v>R</v>
      </c>
      <c r="M1114" s="1" t="str">
        <f t="shared" ref="M1114:M1127" si="378">"T03"</f>
        <v>T03</v>
      </c>
      <c r="N1114" s="1" t="str">
        <f t="shared" si="364"/>
        <v>Y</v>
      </c>
      <c r="O1114" s="1" t="str">
        <f t="shared" si="373"/>
        <v>Y</v>
      </c>
      <c r="P1114" s="1" t="str">
        <f t="shared" si="367"/>
        <v>Y</v>
      </c>
      <c r="Q1114" s="1" t="str">
        <f t="shared" si="370"/>
        <v>A</v>
      </c>
    </row>
    <row r="1115" spans="1:17" x14ac:dyDescent="0.3">
      <c r="A1115" s="1" t="str">
        <f t="shared" si="368"/>
        <v>D2</v>
      </c>
      <c r="B1115" s="1" t="str">
        <f>"EKG301"</f>
        <v>EKG301</v>
      </c>
      <c r="C1115" s="1" t="str">
        <f>"우심실 비대"</f>
        <v>우심실 비대</v>
      </c>
      <c r="D1115" s="1" t="s">
        <v>352</v>
      </c>
      <c r="E1115" s="1" t="str">
        <f t="shared" si="372"/>
        <v>WOK02</v>
      </c>
      <c r="F1115" s="1" t="str">
        <f t="shared" si="374"/>
        <v>PTM04</v>
      </c>
      <c r="G1115" s="1" t="str">
        <f t="shared" si="375"/>
        <v>DISI</v>
      </c>
      <c r="H1115" s="1" t="str">
        <f t="shared" si="376"/>
        <v>REL06</v>
      </c>
      <c r="I1115" s="1" t="str">
        <f>""</f>
        <v/>
      </c>
      <c r="J1115" s="1" t="str">
        <f t="shared" si="377"/>
        <v>C39D</v>
      </c>
      <c r="K1115" s="1" t="str">
        <f t="shared" si="377"/>
        <v>C39D</v>
      </c>
      <c r="L1115" s="1" t="str">
        <f t="shared" si="363"/>
        <v>R</v>
      </c>
      <c r="M1115" s="1" t="str">
        <f t="shared" si="378"/>
        <v>T03</v>
      </c>
      <c r="N1115" s="1" t="str">
        <f t="shared" si="364"/>
        <v>Y</v>
      </c>
      <c r="O1115" s="1" t="str">
        <f t="shared" si="373"/>
        <v>Y</v>
      </c>
      <c r="P1115" s="1" t="str">
        <f t="shared" si="367"/>
        <v>Y</v>
      </c>
      <c r="Q1115" s="1" t="str">
        <f t="shared" si="370"/>
        <v>A</v>
      </c>
    </row>
    <row r="1116" spans="1:17" x14ac:dyDescent="0.3">
      <c r="A1116" s="1" t="str">
        <f t="shared" si="368"/>
        <v>D2</v>
      </c>
      <c r="B1116" s="1" t="str">
        <f>"EKG302"</f>
        <v>EKG302</v>
      </c>
      <c r="C1116" s="1" t="str">
        <f>"고혈압을 동반한 좌심실 비대 의심"</f>
        <v>고혈압을 동반한 좌심실 비대 의심</v>
      </c>
      <c r="D1116" s="1" t="s">
        <v>353</v>
      </c>
      <c r="E1116" s="1" t="str">
        <f t="shared" si="372"/>
        <v>WOK02</v>
      </c>
      <c r="F1116" s="1" t="str">
        <f t="shared" si="374"/>
        <v>PTM04</v>
      </c>
      <c r="G1116" s="1" t="str">
        <f t="shared" si="375"/>
        <v>DISI</v>
      </c>
      <c r="H1116" s="1" t="str">
        <f t="shared" si="376"/>
        <v>REL06</v>
      </c>
      <c r="I1116" s="1" t="str">
        <f>""</f>
        <v/>
      </c>
      <c r="J1116" s="1" t="str">
        <f t="shared" si="377"/>
        <v>C39D</v>
      </c>
      <c r="K1116" s="1" t="str">
        <f t="shared" si="377"/>
        <v>C39D</v>
      </c>
      <c r="L1116" s="1" t="str">
        <f t="shared" si="363"/>
        <v>R</v>
      </c>
      <c r="M1116" s="1" t="str">
        <f t="shared" si="378"/>
        <v>T03</v>
      </c>
      <c r="N1116" s="1" t="str">
        <f t="shared" si="364"/>
        <v>Y</v>
      </c>
      <c r="O1116" s="1" t="str">
        <f t="shared" si="373"/>
        <v>Y</v>
      </c>
      <c r="P1116" s="1" t="str">
        <f t="shared" si="367"/>
        <v>Y</v>
      </c>
      <c r="Q1116" s="1" t="str">
        <f t="shared" si="370"/>
        <v>A</v>
      </c>
    </row>
    <row r="1117" spans="1:17" x14ac:dyDescent="0.3">
      <c r="A1117" s="1" t="str">
        <f t="shared" si="368"/>
        <v>D2</v>
      </c>
      <c r="B1117" s="1" t="str">
        <f>"EKG304"</f>
        <v>EKG304</v>
      </c>
      <c r="C1117" s="1" t="str">
        <f>"심실이단맥"</f>
        <v>심실이단맥</v>
      </c>
      <c r="D1117" s="1" t="str">
        <f>"이는 정상박동 사이에 심실에서 시작되는 박동인 심실조기수축이 보이는 것입니다. 정확한 진단 및 치료를 위해 심장내과 진료 바랍니다."</f>
        <v>이는 정상박동 사이에 심실에서 시작되는 박동인 심실조기수축이 보이는 것입니다. 정확한 진단 및 치료를 위해 심장내과 진료 바랍니다.</v>
      </c>
      <c r="E1117" s="1" t="str">
        <f t="shared" si="372"/>
        <v>WOK02</v>
      </c>
      <c r="F1117" s="1" t="str">
        <f t="shared" si="374"/>
        <v>PTM04</v>
      </c>
      <c r="G1117" s="1" t="str">
        <f t="shared" si="375"/>
        <v>DISI</v>
      </c>
      <c r="H1117" s="1" t="str">
        <f t="shared" si="376"/>
        <v>REL06</v>
      </c>
      <c r="I1117" s="1" t="str">
        <f>""</f>
        <v/>
      </c>
      <c r="J1117" s="1" t="str">
        <f t="shared" si="377"/>
        <v>C39D</v>
      </c>
      <c r="K1117" s="1" t="str">
        <f t="shared" si="377"/>
        <v>C39D</v>
      </c>
      <c r="L1117" s="1" t="str">
        <f t="shared" si="363"/>
        <v>R</v>
      </c>
      <c r="M1117" s="1" t="str">
        <f t="shared" si="378"/>
        <v>T03</v>
      </c>
      <c r="N1117" s="1" t="str">
        <f t="shared" si="364"/>
        <v>Y</v>
      </c>
      <c r="O1117" s="1" t="str">
        <f t="shared" si="373"/>
        <v>Y</v>
      </c>
      <c r="P1117" s="1" t="str">
        <f t="shared" si="367"/>
        <v>Y</v>
      </c>
      <c r="Q1117" s="1" t="str">
        <f t="shared" si="370"/>
        <v>A</v>
      </c>
    </row>
    <row r="1118" spans="1:17" x14ac:dyDescent="0.3">
      <c r="A1118" s="1" t="str">
        <f t="shared" si="368"/>
        <v>D2</v>
      </c>
      <c r="B1118" s="1" t="str">
        <f>"EKG306"</f>
        <v>EKG306</v>
      </c>
      <c r="C1118" s="1" t="str">
        <f>"2도 방실차단"</f>
        <v>2도 방실차단</v>
      </c>
      <c r="D1118" s="1" t="s">
        <v>354</v>
      </c>
      <c r="E1118" s="1" t="str">
        <f t="shared" si="372"/>
        <v>WOK02</v>
      </c>
      <c r="F1118" s="1" t="str">
        <f>"PTM03"</f>
        <v>PTM03</v>
      </c>
      <c r="G1118" s="1" t="str">
        <f t="shared" si="375"/>
        <v>DISI</v>
      </c>
      <c r="H1118" s="1" t="str">
        <f t="shared" si="376"/>
        <v>REL06</v>
      </c>
      <c r="I1118" s="1" t="str">
        <f>""</f>
        <v/>
      </c>
      <c r="J1118" s="1" t="str">
        <f t="shared" si="377"/>
        <v>C39D</v>
      </c>
      <c r="K1118" s="1" t="str">
        <f t="shared" si="377"/>
        <v>C39D</v>
      </c>
      <c r="L1118" s="1" t="str">
        <f t="shared" si="363"/>
        <v>R</v>
      </c>
      <c r="M1118" s="1" t="str">
        <f t="shared" si="378"/>
        <v>T03</v>
      </c>
      <c r="N1118" s="1" t="str">
        <f t="shared" si="364"/>
        <v>Y</v>
      </c>
      <c r="O1118" s="1" t="str">
        <f t="shared" si="373"/>
        <v>Y</v>
      </c>
      <c r="P1118" s="1" t="str">
        <f t="shared" si="367"/>
        <v>Y</v>
      </c>
      <c r="Q1118" s="1" t="str">
        <f t="shared" si="370"/>
        <v>A</v>
      </c>
    </row>
    <row r="1119" spans="1:17" x14ac:dyDescent="0.3">
      <c r="A1119" s="1" t="str">
        <f t="shared" si="368"/>
        <v>D2</v>
      </c>
      <c r="B1119" s="1" t="str">
        <f>"EKG310"</f>
        <v>EKG310</v>
      </c>
      <c r="C1119" s="1" t="str">
        <f>"긴 QT 간격"</f>
        <v>긴 QT 간격</v>
      </c>
      <c r="D1119" s="1" t="s">
        <v>355</v>
      </c>
      <c r="E1119" s="1" t="str">
        <f t="shared" si="372"/>
        <v>WOK02</v>
      </c>
      <c r="F1119" s="1" t="str">
        <f t="shared" ref="F1119:F1125" si="379">"PTM04"</f>
        <v>PTM04</v>
      </c>
      <c r="G1119" s="1" t="str">
        <f t="shared" si="375"/>
        <v>DISI</v>
      </c>
      <c r="H1119" s="1" t="str">
        <f t="shared" si="376"/>
        <v>REL06</v>
      </c>
      <c r="I1119" s="1" t="str">
        <f>""</f>
        <v/>
      </c>
      <c r="J1119" s="1" t="str">
        <f t="shared" si="377"/>
        <v>C39D</v>
      </c>
      <c r="K1119" s="1" t="str">
        <f t="shared" si="377"/>
        <v>C39D</v>
      </c>
      <c r="L1119" s="1" t="str">
        <f t="shared" si="363"/>
        <v>R</v>
      </c>
      <c r="M1119" s="1" t="str">
        <f t="shared" si="378"/>
        <v>T03</v>
      </c>
      <c r="N1119" s="1" t="str">
        <f t="shared" si="364"/>
        <v>Y</v>
      </c>
      <c r="O1119" s="1" t="str">
        <f t="shared" si="373"/>
        <v>Y</v>
      </c>
      <c r="P1119" s="1" t="str">
        <f t="shared" si="367"/>
        <v>Y</v>
      </c>
      <c r="Q1119" s="1" t="str">
        <f t="shared" si="370"/>
        <v>A</v>
      </c>
    </row>
    <row r="1120" spans="1:17" x14ac:dyDescent="0.3">
      <c r="A1120" s="1" t="str">
        <f t="shared" si="368"/>
        <v>D2</v>
      </c>
      <c r="B1120" s="1" t="str">
        <f>"EKG311"</f>
        <v>EKG311</v>
      </c>
      <c r="C1120" s="1" t="str">
        <f>"T파 역위"</f>
        <v>T파 역위</v>
      </c>
      <c r="D1120" s="1" t="s">
        <v>356</v>
      </c>
      <c r="E1120" s="1" t="str">
        <f t="shared" si="372"/>
        <v>WOK02</v>
      </c>
      <c r="F1120" s="1" t="str">
        <f t="shared" si="379"/>
        <v>PTM04</v>
      </c>
      <c r="G1120" s="1" t="str">
        <f t="shared" si="375"/>
        <v>DISI</v>
      </c>
      <c r="H1120" s="1" t="str">
        <f t="shared" si="376"/>
        <v>REL06</v>
      </c>
      <c r="I1120" s="1" t="str">
        <f>""</f>
        <v/>
      </c>
      <c r="J1120" s="1" t="str">
        <f t="shared" si="377"/>
        <v>C39D</v>
      </c>
      <c r="K1120" s="1" t="str">
        <f t="shared" si="377"/>
        <v>C39D</v>
      </c>
      <c r="L1120" s="1" t="str">
        <f t="shared" si="363"/>
        <v>R</v>
      </c>
      <c r="M1120" s="1" t="str">
        <f t="shared" si="378"/>
        <v>T03</v>
      </c>
      <c r="N1120" s="1" t="str">
        <f t="shared" si="364"/>
        <v>Y</v>
      </c>
      <c r="O1120" s="1" t="str">
        <f t="shared" si="373"/>
        <v>Y</v>
      </c>
      <c r="P1120" s="1" t="str">
        <f t="shared" si="367"/>
        <v>Y</v>
      </c>
      <c r="Q1120" s="1" t="str">
        <f t="shared" si="370"/>
        <v>A</v>
      </c>
    </row>
    <row r="1121" spans="1:17" x14ac:dyDescent="0.3">
      <c r="A1121" s="1" t="str">
        <f t="shared" si="368"/>
        <v>D2</v>
      </c>
      <c r="B1121" s="1" t="str">
        <f>"EKG312"</f>
        <v>EKG312</v>
      </c>
      <c r="C1121" s="1" t="str">
        <f>"심박동 우축 편위"</f>
        <v>심박동 우축 편위</v>
      </c>
      <c r="D1121" s="1" t="s">
        <v>357</v>
      </c>
      <c r="E1121" s="1" t="str">
        <f t="shared" si="372"/>
        <v>WOK02</v>
      </c>
      <c r="F1121" s="1" t="str">
        <f t="shared" si="379"/>
        <v>PTM04</v>
      </c>
      <c r="G1121" s="1" t="str">
        <f t="shared" si="375"/>
        <v>DISI</v>
      </c>
      <c r="H1121" s="1" t="str">
        <f t="shared" si="376"/>
        <v>REL06</v>
      </c>
      <c r="I1121" s="1" t="str">
        <f>""</f>
        <v/>
      </c>
      <c r="J1121" s="1" t="str">
        <f t="shared" si="377"/>
        <v>C39D</v>
      </c>
      <c r="K1121" s="1" t="str">
        <f t="shared" si="377"/>
        <v>C39D</v>
      </c>
      <c r="L1121" s="1" t="str">
        <f t="shared" si="363"/>
        <v>R</v>
      </c>
      <c r="M1121" s="1" t="str">
        <f t="shared" si="378"/>
        <v>T03</v>
      </c>
      <c r="N1121" s="1" t="str">
        <f t="shared" si="364"/>
        <v>Y</v>
      </c>
      <c r="O1121" s="1" t="str">
        <f t="shared" si="373"/>
        <v>Y</v>
      </c>
      <c r="P1121" s="1" t="str">
        <f t="shared" si="367"/>
        <v>Y</v>
      </c>
      <c r="Q1121" s="1" t="str">
        <f t="shared" si="370"/>
        <v>A</v>
      </c>
    </row>
    <row r="1122" spans="1:17" x14ac:dyDescent="0.3">
      <c r="A1122" s="1" t="str">
        <f t="shared" si="368"/>
        <v>D2</v>
      </c>
      <c r="B1122" s="1" t="str">
        <f>"EKG315"</f>
        <v>EKG315</v>
      </c>
      <c r="C1122" s="1" t="str">
        <f>"심장염 의심"</f>
        <v>심장염 의심</v>
      </c>
      <c r="D1122" s="1" t="str">
        <f>"정확한 진단 및 치료를 위해 심장내과 진료 바랍니다."</f>
        <v>정확한 진단 및 치료를 위해 심장내과 진료 바랍니다.</v>
      </c>
      <c r="E1122" s="1" t="str">
        <f t="shared" si="372"/>
        <v>WOK02</v>
      </c>
      <c r="F1122" s="1" t="str">
        <f t="shared" si="379"/>
        <v>PTM04</v>
      </c>
      <c r="G1122" s="1" t="str">
        <f t="shared" si="375"/>
        <v>DISI</v>
      </c>
      <c r="H1122" s="1" t="str">
        <f t="shared" si="376"/>
        <v>REL06</v>
      </c>
      <c r="I1122" s="1" t="str">
        <f>""</f>
        <v/>
      </c>
      <c r="J1122" s="1" t="str">
        <f t="shared" si="377"/>
        <v>C39D</v>
      </c>
      <c r="K1122" s="1" t="str">
        <f t="shared" si="377"/>
        <v>C39D</v>
      </c>
      <c r="L1122" s="1" t="str">
        <f t="shared" si="363"/>
        <v>R</v>
      </c>
      <c r="M1122" s="1" t="str">
        <f t="shared" si="378"/>
        <v>T03</v>
      </c>
      <c r="N1122" s="1" t="str">
        <f t="shared" si="364"/>
        <v>Y</v>
      </c>
      <c r="O1122" s="1" t="str">
        <f t="shared" si="373"/>
        <v>Y</v>
      </c>
      <c r="P1122" s="1" t="str">
        <f t="shared" si="367"/>
        <v>Y</v>
      </c>
      <c r="Q1122" s="1" t="str">
        <f t="shared" si="370"/>
        <v>A</v>
      </c>
    </row>
    <row r="1123" spans="1:17" x14ac:dyDescent="0.3">
      <c r="A1123" s="1" t="str">
        <f t="shared" si="368"/>
        <v>D2</v>
      </c>
      <c r="B1123" s="1" t="str">
        <f>"EKG316"</f>
        <v>EKG316</v>
      </c>
      <c r="C1123" s="1" t="str">
        <f>"허혈성 심장질환 의심"</f>
        <v>허혈성 심장질환 의심</v>
      </c>
      <c r="D1123" s="1" t="s">
        <v>358</v>
      </c>
      <c r="E1123" s="1" t="str">
        <f t="shared" si="372"/>
        <v>WOK02</v>
      </c>
      <c r="F1123" s="1" t="str">
        <f t="shared" si="379"/>
        <v>PTM04</v>
      </c>
      <c r="G1123" s="1" t="str">
        <f t="shared" si="375"/>
        <v>DISI</v>
      </c>
      <c r="H1123" s="1" t="str">
        <f t="shared" si="376"/>
        <v>REL06</v>
      </c>
      <c r="I1123" s="1" t="str">
        <f>""</f>
        <v/>
      </c>
      <c r="J1123" s="1" t="str">
        <f t="shared" si="377"/>
        <v>C39D</v>
      </c>
      <c r="K1123" s="1" t="str">
        <f t="shared" si="377"/>
        <v>C39D</v>
      </c>
      <c r="L1123" s="1" t="str">
        <f t="shared" si="363"/>
        <v>R</v>
      </c>
      <c r="M1123" s="1" t="str">
        <f t="shared" si="378"/>
        <v>T03</v>
      </c>
      <c r="N1123" s="1" t="str">
        <f t="shared" si="364"/>
        <v>Y</v>
      </c>
      <c r="O1123" s="1" t="str">
        <f t="shared" si="373"/>
        <v>Y</v>
      </c>
      <c r="P1123" s="1" t="str">
        <f t="shared" si="367"/>
        <v>Y</v>
      </c>
      <c r="Q1123" s="1" t="str">
        <f t="shared" si="370"/>
        <v>A</v>
      </c>
    </row>
    <row r="1124" spans="1:17" x14ac:dyDescent="0.3">
      <c r="A1124" s="1" t="str">
        <f t="shared" si="368"/>
        <v>D2</v>
      </c>
      <c r="B1124" s="1" t="str">
        <f>"EKG401"</f>
        <v>EKG401</v>
      </c>
      <c r="C1124" s="1" t="str">
        <f>"심방조동"</f>
        <v>심방조동</v>
      </c>
      <c r="D1124" s="1" t="str">
        <f>"심방조동은 부정맥의 일종으로 여러 가지 심장 이상에 의해 생길 수 있으며 치료가 필요한 경우도 있습니다. 심장내과 진료를 받으시기 바랍니다."</f>
        <v>심방조동은 부정맥의 일종으로 여러 가지 심장 이상에 의해 생길 수 있으며 치료가 필요한 경우도 있습니다. 심장내과 진료를 받으시기 바랍니다.</v>
      </c>
      <c r="E1124" s="1" t="str">
        <f t="shared" si="372"/>
        <v>WOK02</v>
      </c>
      <c r="F1124" s="1" t="str">
        <f t="shared" si="379"/>
        <v>PTM04</v>
      </c>
      <c r="G1124" s="1" t="str">
        <f t="shared" si="375"/>
        <v>DISI</v>
      </c>
      <c r="H1124" s="1" t="str">
        <f t="shared" si="376"/>
        <v>REL06</v>
      </c>
      <c r="I1124" s="1" t="str">
        <f>""</f>
        <v/>
      </c>
      <c r="J1124" s="1" t="str">
        <f t="shared" si="377"/>
        <v>C39D</v>
      </c>
      <c r="K1124" s="1" t="str">
        <f t="shared" si="377"/>
        <v>C39D</v>
      </c>
      <c r="L1124" s="1" t="str">
        <f t="shared" si="363"/>
        <v>R</v>
      </c>
      <c r="M1124" s="1" t="str">
        <f t="shared" si="378"/>
        <v>T03</v>
      </c>
      <c r="N1124" s="1" t="str">
        <f t="shared" si="364"/>
        <v>Y</v>
      </c>
      <c r="O1124" s="1" t="str">
        <f t="shared" si="373"/>
        <v>Y</v>
      </c>
      <c r="P1124" s="1" t="str">
        <f t="shared" si="367"/>
        <v>Y</v>
      </c>
      <c r="Q1124" s="1" t="str">
        <f t="shared" si="370"/>
        <v>A</v>
      </c>
    </row>
    <row r="1125" spans="1:17" x14ac:dyDescent="0.3">
      <c r="A1125" s="1" t="str">
        <f t="shared" si="368"/>
        <v>D2</v>
      </c>
      <c r="B1125" s="1" t="str">
        <f>"EKG402"</f>
        <v>EKG402</v>
      </c>
      <c r="C1125" s="1" t="str">
        <f>"심방세동"</f>
        <v>심방세동</v>
      </c>
      <c r="D1125" s="1" t="s">
        <v>359</v>
      </c>
      <c r="E1125" s="1" t="str">
        <f t="shared" si="372"/>
        <v>WOK02</v>
      </c>
      <c r="F1125" s="1" t="str">
        <f t="shared" si="379"/>
        <v>PTM04</v>
      </c>
      <c r="G1125" s="1" t="str">
        <f t="shared" si="375"/>
        <v>DISI</v>
      </c>
      <c r="H1125" s="1" t="str">
        <f t="shared" si="376"/>
        <v>REL06</v>
      </c>
      <c r="I1125" s="1" t="str">
        <f>""</f>
        <v/>
      </c>
      <c r="J1125" s="1" t="str">
        <f t="shared" si="377"/>
        <v>C39D</v>
      </c>
      <c r="K1125" s="1" t="str">
        <f t="shared" si="377"/>
        <v>C39D</v>
      </c>
      <c r="L1125" s="1" t="str">
        <f t="shared" si="363"/>
        <v>R</v>
      </c>
      <c r="M1125" s="1" t="str">
        <f t="shared" si="378"/>
        <v>T03</v>
      </c>
      <c r="N1125" s="1" t="str">
        <f t="shared" si="364"/>
        <v>Y</v>
      </c>
      <c r="O1125" s="1" t="str">
        <f t="shared" si="373"/>
        <v>Y</v>
      </c>
      <c r="P1125" s="1" t="str">
        <f t="shared" si="367"/>
        <v>Y</v>
      </c>
      <c r="Q1125" s="1" t="str">
        <f t="shared" si="370"/>
        <v>A</v>
      </c>
    </row>
    <row r="1126" spans="1:17" x14ac:dyDescent="0.3">
      <c r="A1126" s="1" t="str">
        <f t="shared" si="368"/>
        <v>D2</v>
      </c>
      <c r="B1126" s="1" t="str">
        <f>"EKG405"</f>
        <v>EKG405</v>
      </c>
      <c r="C1126" s="1" t="str">
        <f>"완전 방실차단"</f>
        <v>완전 방실차단</v>
      </c>
      <c r="D1126" s="1" t="str">
        <f>"심방의 전기 자극이 전혀 심실로 전달되지 않는 상태로 인공 심장박동조율기가 필요합니다. 심장내과 진료가 필요합니다."</f>
        <v>심방의 전기 자극이 전혀 심실로 전달되지 않는 상태로 인공 심장박동조율기가 필요합니다. 심장내과 진료가 필요합니다.</v>
      </c>
      <c r="E1126" s="1" t="str">
        <f>"WOK03"</f>
        <v>WOK03</v>
      </c>
      <c r="F1126" s="1" t="str">
        <f>"PTM07"</f>
        <v>PTM07</v>
      </c>
      <c r="G1126" s="1" t="str">
        <f t="shared" si="375"/>
        <v>DISI</v>
      </c>
      <c r="H1126" s="1" t="str">
        <f t="shared" si="376"/>
        <v>REL06</v>
      </c>
      <c r="I1126" s="1" t="str">
        <f>""</f>
        <v/>
      </c>
      <c r="J1126" s="1" t="str">
        <f t="shared" si="377"/>
        <v>C39D</v>
      </c>
      <c r="K1126" s="1" t="str">
        <f t="shared" si="377"/>
        <v>C39D</v>
      </c>
      <c r="L1126" s="1" t="str">
        <f t="shared" si="363"/>
        <v>R</v>
      </c>
      <c r="M1126" s="1" t="str">
        <f t="shared" si="378"/>
        <v>T03</v>
      </c>
      <c r="N1126" s="1" t="str">
        <f t="shared" si="364"/>
        <v>Y</v>
      </c>
      <c r="O1126" s="1" t="str">
        <f t="shared" si="373"/>
        <v>Y</v>
      </c>
      <c r="P1126" s="1" t="str">
        <f t="shared" si="367"/>
        <v>Y</v>
      </c>
      <c r="Q1126" s="1" t="str">
        <f t="shared" si="370"/>
        <v>A</v>
      </c>
    </row>
    <row r="1127" spans="1:17" x14ac:dyDescent="0.3">
      <c r="A1127" s="1" t="str">
        <f t="shared" si="368"/>
        <v>D2</v>
      </c>
      <c r="B1127" s="1" t="str">
        <f>"EKG407"</f>
        <v>EKG407</v>
      </c>
      <c r="C1127" s="1" t="str">
        <f>"심장 전기전도 우회로 존재"</f>
        <v>심장 전기전도 우회로 존재</v>
      </c>
      <c r="D1127" s="1" t="s">
        <v>360</v>
      </c>
      <c r="E1127" s="1" t="str">
        <f t="shared" ref="E1127:E1158" si="380">"WOK02"</f>
        <v>WOK02</v>
      </c>
      <c r="F1127" s="1" t="str">
        <f>"PTM04"</f>
        <v>PTM04</v>
      </c>
      <c r="G1127" s="1" t="str">
        <f t="shared" si="375"/>
        <v>DISI</v>
      </c>
      <c r="H1127" s="1" t="str">
        <f t="shared" si="376"/>
        <v>REL06</v>
      </c>
      <c r="I1127" s="1" t="str">
        <f>""</f>
        <v/>
      </c>
      <c r="J1127" s="1" t="str">
        <f t="shared" si="377"/>
        <v>C39D</v>
      </c>
      <c r="K1127" s="1" t="str">
        <f t="shared" si="377"/>
        <v>C39D</v>
      </c>
      <c r="L1127" s="1" t="str">
        <f t="shared" si="363"/>
        <v>R</v>
      </c>
      <c r="M1127" s="1" t="str">
        <f t="shared" si="378"/>
        <v>T03</v>
      </c>
      <c r="N1127" s="1" t="str">
        <f t="shared" si="364"/>
        <v>Y</v>
      </c>
      <c r="O1127" s="1" t="str">
        <f t="shared" si="373"/>
        <v>Y</v>
      </c>
      <c r="P1127" s="1" t="str">
        <f t="shared" si="367"/>
        <v>Y</v>
      </c>
      <c r="Q1127" s="1" t="str">
        <f t="shared" si="370"/>
        <v>A</v>
      </c>
    </row>
    <row r="1128" spans="1:17" x14ac:dyDescent="0.3">
      <c r="A1128" s="1" t="str">
        <f t="shared" si="368"/>
        <v>D2</v>
      </c>
      <c r="B1128" s="1" t="str">
        <f>"EMP401"</f>
        <v>EMP401</v>
      </c>
      <c r="C1128" s="1" t="str">
        <f>"빈혈"</f>
        <v>빈혈</v>
      </c>
      <c r="D1128" s="1" t="str">
        <f>"빈혈에 대한 정밀검사 및 업무적합성평가 필요합니다."</f>
        <v>빈혈에 대한 정밀검사 및 업무적합성평가 필요합니다.</v>
      </c>
      <c r="E1128" s="1" t="str">
        <f t="shared" si="380"/>
        <v>WOK02</v>
      </c>
      <c r="F1128" s="1" t="str">
        <f>"PTM04"</f>
        <v>PTM04</v>
      </c>
      <c r="G1128" s="1" t="str">
        <f>"DISD"</f>
        <v>DISD</v>
      </c>
      <c r="H1128" s="1" t="str">
        <f>"REL12"</f>
        <v>REL12</v>
      </c>
      <c r="I1128" s="1" t="str">
        <f>""</f>
        <v/>
      </c>
      <c r="J1128" s="1" t="str">
        <f>"C08D"</f>
        <v>C08D</v>
      </c>
      <c r="K1128" s="1" t="str">
        <f>"C08D"</f>
        <v>C08D</v>
      </c>
      <c r="L1128" s="1" t="str">
        <f t="shared" si="363"/>
        <v>R</v>
      </c>
      <c r="M1128" s="1" t="str">
        <f>"T01"</f>
        <v>T01</v>
      </c>
      <c r="N1128" s="1" t="str">
        <f t="shared" si="364"/>
        <v>Y</v>
      </c>
      <c r="O1128" s="1" t="str">
        <f t="shared" si="373"/>
        <v>Y</v>
      </c>
      <c r="P1128" s="1" t="str">
        <f t="shared" si="367"/>
        <v>Y</v>
      </c>
      <c r="Q1128" s="1" t="str">
        <f t="shared" si="370"/>
        <v>A</v>
      </c>
    </row>
    <row r="1129" spans="1:17" x14ac:dyDescent="0.3">
      <c r="A1129" s="1" t="str">
        <f t="shared" si="368"/>
        <v>D2</v>
      </c>
      <c r="B1129" s="1" t="str">
        <f>"EMP402"</f>
        <v>EMP402</v>
      </c>
      <c r="C1129" s="1" t="str">
        <f>"심장질환(의심)"</f>
        <v>심장질환(의심)</v>
      </c>
      <c r="D1129" s="1" t="str">
        <f>"심장내과 진료 및 업무적합성평가 요함"</f>
        <v>심장내과 진료 및 업무적합성평가 요함</v>
      </c>
      <c r="E1129" s="1" t="str">
        <f t="shared" si="380"/>
        <v>WOK02</v>
      </c>
      <c r="F1129" s="1" t="str">
        <f>"PTM04"</f>
        <v>PTM04</v>
      </c>
      <c r="G1129" s="1" t="str">
        <f>"DISI"</f>
        <v>DISI</v>
      </c>
      <c r="H1129" s="1" t="str">
        <f>"REL06"</f>
        <v>REL06</v>
      </c>
      <c r="I1129" s="1" t="str">
        <f>""</f>
        <v/>
      </c>
      <c r="J1129" s="1" t="str">
        <f>"C39D"</f>
        <v>C39D</v>
      </c>
      <c r="K1129" s="1" t="str">
        <f>"C39D"</f>
        <v>C39D</v>
      </c>
      <c r="L1129" s="1" t="str">
        <f t="shared" si="363"/>
        <v>R</v>
      </c>
      <c r="M1129" s="1" t="str">
        <f>"T03"</f>
        <v>T03</v>
      </c>
      <c r="N1129" s="1" t="str">
        <f t="shared" si="364"/>
        <v>Y</v>
      </c>
      <c r="O1129" s="1" t="str">
        <f t="shared" si="373"/>
        <v>Y</v>
      </c>
      <c r="P1129" s="1" t="str">
        <f t="shared" si="367"/>
        <v>Y</v>
      </c>
      <c r="Q1129" s="1" t="str">
        <f t="shared" si="370"/>
        <v>A</v>
      </c>
    </row>
    <row r="1130" spans="1:17" x14ac:dyDescent="0.3">
      <c r="A1130" s="1" t="str">
        <f t="shared" si="368"/>
        <v>D2</v>
      </c>
      <c r="B1130" s="1" t="str">
        <f>"EMP416"</f>
        <v>EMP416</v>
      </c>
      <c r="C1130" s="1" t="str">
        <f>"고지혈증"</f>
        <v>고지혈증</v>
      </c>
      <c r="D1130" s="1" t="str">
        <f>"혈중 콜레스테롤 농도가 증가하여 심혈관계질환 발생 위험도가 높습니다. 내과나 가정의학과의 진료를 받으세요."</f>
        <v>혈중 콜레스테롤 농도가 증가하여 심혈관계질환 발생 위험도가 높습니다. 내과나 가정의학과의 진료를 받으세요.</v>
      </c>
      <c r="E1130" s="1" t="str">
        <f t="shared" si="380"/>
        <v>WOK02</v>
      </c>
      <c r="F1130" s="1" t="str">
        <f>"PTM04"</f>
        <v>PTM04</v>
      </c>
      <c r="G1130" s="1" t="str">
        <f>"DISE"</f>
        <v>DISE</v>
      </c>
      <c r="H1130" s="1" t="str">
        <f>"REL04"</f>
        <v>REL04</v>
      </c>
      <c r="I1130" s="1" t="str">
        <f>""</f>
        <v/>
      </c>
      <c r="J1130" s="1" t="str">
        <f>"C04D"</f>
        <v>C04D</v>
      </c>
      <c r="K1130" s="1" t="str">
        <f>"C04D"</f>
        <v>C04D</v>
      </c>
      <c r="L1130" s="1" t="str">
        <f t="shared" si="363"/>
        <v>R</v>
      </c>
      <c r="M1130" s="1" t="str">
        <f>"T03"</f>
        <v>T03</v>
      </c>
      <c r="N1130" s="1" t="str">
        <f t="shared" si="364"/>
        <v>Y</v>
      </c>
      <c r="O1130" s="1" t="str">
        <f t="shared" si="373"/>
        <v>Y</v>
      </c>
      <c r="P1130" s="1" t="str">
        <f t="shared" si="367"/>
        <v>Y</v>
      </c>
      <c r="Q1130" s="1" t="str">
        <f t="shared" si="370"/>
        <v>A</v>
      </c>
    </row>
    <row r="1131" spans="1:17" x14ac:dyDescent="0.3">
      <c r="A1131" s="1" t="str">
        <f t="shared" si="368"/>
        <v>D2</v>
      </c>
      <c r="B1131" s="1" t="str">
        <f>"EMP417"</f>
        <v>EMP417</v>
      </c>
      <c r="C1131" s="1" t="str">
        <f>"폐기능검사상 폐기능의 심한 저하"</f>
        <v>폐기능검사상 폐기능의 심한 저하</v>
      </c>
      <c r="D1131" s="1" t="s">
        <v>173</v>
      </c>
      <c r="E1131" s="1" t="str">
        <f t="shared" si="380"/>
        <v>WOK02</v>
      </c>
      <c r="F1131" s="1" t="str">
        <f>"PTM04"</f>
        <v>PTM04</v>
      </c>
      <c r="G1131" s="1" t="str">
        <f>"DISJ"</f>
        <v>DISJ</v>
      </c>
      <c r="H1131" s="1" t="str">
        <f>"REL15"</f>
        <v>REL15</v>
      </c>
      <c r="I1131" s="1" t="str">
        <f>""</f>
        <v/>
      </c>
      <c r="J1131" s="1" t="str">
        <f>"C40D"</f>
        <v>C40D</v>
      </c>
      <c r="K1131" s="1" t="str">
        <f>"C40D"</f>
        <v>C40D</v>
      </c>
      <c r="L1131" s="1" t="str">
        <f t="shared" si="363"/>
        <v>R</v>
      </c>
      <c r="M1131" s="1" t="str">
        <f>"T04"</f>
        <v>T04</v>
      </c>
      <c r="N1131" s="1" t="str">
        <f t="shared" si="364"/>
        <v>Y</v>
      </c>
      <c r="O1131" s="1" t="str">
        <f t="shared" si="373"/>
        <v>Y</v>
      </c>
      <c r="P1131" s="1" t="str">
        <f t="shared" si="367"/>
        <v>Y</v>
      </c>
      <c r="Q1131" s="1" t="str">
        <f t="shared" si="370"/>
        <v>A</v>
      </c>
    </row>
    <row r="1132" spans="1:17" x14ac:dyDescent="0.3">
      <c r="A1132" s="1" t="str">
        <f t="shared" ref="A1132:A1163" si="381">"D2"</f>
        <v>D2</v>
      </c>
      <c r="B1132" s="1" t="str">
        <f>"EMPX15"</f>
        <v>EMPX15</v>
      </c>
      <c r="C1132" s="1" t="str">
        <f>"요추부 압박골절"</f>
        <v>요추부 압박골절</v>
      </c>
      <c r="D1132" s="1" t="str">
        <f>"골다공증 있을시 골다공증 치료를 요하며 자세 등 허리의 안정이 필요합니다. 요통 등 신경 증세 발생시 통증 치료 및 수술적 치료 요합니다."</f>
        <v>골다공증 있을시 골다공증 치료를 요하며 자세 등 허리의 안정이 필요합니다. 요통 등 신경 증세 발생시 통증 치료 및 수술적 치료 요합니다.</v>
      </c>
      <c r="E1132" s="1" t="str">
        <f t="shared" si="380"/>
        <v>WOK02</v>
      </c>
      <c r="F1132" s="1" t="str">
        <f>"PTM01"</f>
        <v>PTM01</v>
      </c>
      <c r="G1132" s="1" t="str">
        <f>"DISM"</f>
        <v>DISM</v>
      </c>
      <c r="H1132" s="1" t="str">
        <f>"REL22"</f>
        <v>REL22</v>
      </c>
      <c r="I1132" s="1" t="str">
        <f>""</f>
        <v/>
      </c>
      <c r="J1132" s="1" t="str">
        <f>"C43D"</f>
        <v>C43D</v>
      </c>
      <c r="K1132" s="1" t="str">
        <f>"C43D"</f>
        <v>C43D</v>
      </c>
      <c r="L1132" s="1" t="str">
        <f t="shared" si="363"/>
        <v>R</v>
      </c>
      <c r="M1132" s="1" t="str">
        <f>""</f>
        <v/>
      </c>
      <c r="N1132" s="1" t="str">
        <f t="shared" si="364"/>
        <v>Y</v>
      </c>
      <c r="O1132" s="1" t="str">
        <f t="shared" si="373"/>
        <v>Y</v>
      </c>
      <c r="P1132" s="1" t="str">
        <f t="shared" si="367"/>
        <v>Y</v>
      </c>
      <c r="Q1132" s="1" t="str">
        <f t="shared" si="370"/>
        <v>A</v>
      </c>
    </row>
    <row r="1133" spans="1:17" x14ac:dyDescent="0.3">
      <c r="A1133" s="1" t="str">
        <f t="shared" si="381"/>
        <v>D2</v>
      </c>
      <c r="B1133" s="1" t="str">
        <f>"EMPX17"</f>
        <v>EMPX17</v>
      </c>
      <c r="C1133" s="1" t="str">
        <f>"척추측만증"</f>
        <v>척추측만증</v>
      </c>
      <c r="D1133" s="1" t="str">
        <f>"정도가 중등도이상입니다. 정형외과나 신경외과 진료를 요합니다."</f>
        <v>정도가 중등도이상입니다. 정형외과나 신경외과 진료를 요합니다.</v>
      </c>
      <c r="E1133" s="1" t="str">
        <f t="shared" si="380"/>
        <v>WOK02</v>
      </c>
      <c r="F1133" s="1" t="str">
        <f>"PTM01"</f>
        <v>PTM01</v>
      </c>
      <c r="G1133" s="1" t="str">
        <f>"DISM"</f>
        <v>DISM</v>
      </c>
      <c r="H1133" s="1" t="str">
        <f>"REL22"</f>
        <v>REL22</v>
      </c>
      <c r="I1133" s="1" t="str">
        <f>""</f>
        <v/>
      </c>
      <c r="J1133" s="1" t="str">
        <f>"C43D"</f>
        <v>C43D</v>
      </c>
      <c r="K1133" s="1" t="str">
        <f>"C43D"</f>
        <v>C43D</v>
      </c>
      <c r="L1133" s="1" t="str">
        <f t="shared" si="363"/>
        <v>R</v>
      </c>
      <c r="M1133" s="1" t="str">
        <f>""</f>
        <v/>
      </c>
      <c r="N1133" s="1" t="str">
        <f t="shared" si="364"/>
        <v>Y</v>
      </c>
      <c r="O1133" s="1" t="str">
        <f t="shared" si="373"/>
        <v>Y</v>
      </c>
      <c r="P1133" s="1" t="str">
        <f t="shared" si="367"/>
        <v>Y</v>
      </c>
      <c r="Q1133" s="1" t="str">
        <f t="shared" si="370"/>
        <v>A</v>
      </c>
    </row>
    <row r="1134" spans="1:17" x14ac:dyDescent="0.3">
      <c r="A1134" s="1" t="str">
        <f t="shared" si="381"/>
        <v>D2</v>
      </c>
      <c r="B1134" s="1" t="str">
        <f>"GNUDB01"</f>
        <v>GNUDB01</v>
      </c>
      <c r="C1134" s="1" t="str">
        <f>"(우측) 전음성 난청 의증"</f>
        <v>(우측) 전음성 난청 의증</v>
      </c>
      <c r="D1134" s="1" t="str">
        <f>"과거 중이염 등의 전음성 난청으로 인한 청력손실이 의심됩니다. 이상 증상이 있을시 이비인후과 진료를 받으세요."</f>
        <v>과거 중이염 등의 전음성 난청으로 인한 청력손실이 의심됩니다. 이상 증상이 있을시 이비인후과 진료를 받으세요.</v>
      </c>
      <c r="E1134" s="1" t="str">
        <f t="shared" si="380"/>
        <v>WOK02</v>
      </c>
      <c r="F1134" s="1" t="str">
        <f>"PTM01"</f>
        <v>PTM01</v>
      </c>
      <c r="G1134" s="1" t="str">
        <f>"DISH"</f>
        <v>DISH</v>
      </c>
      <c r="H1134" s="1" t="str">
        <f>"REL19"</f>
        <v>REL19</v>
      </c>
      <c r="I1134" s="1" t="str">
        <f>"01"</f>
        <v>01</v>
      </c>
      <c r="J1134" s="1" t="str">
        <f>"C55D"</f>
        <v>C55D</v>
      </c>
      <c r="K1134" s="1" t="str">
        <f>"C55D"</f>
        <v>C55D</v>
      </c>
      <c r="L1134" s="1" t="str">
        <f t="shared" si="363"/>
        <v>R</v>
      </c>
      <c r="M1134" s="1" t="str">
        <f>"T10"</f>
        <v>T10</v>
      </c>
      <c r="N1134" s="1" t="str">
        <f t="shared" si="364"/>
        <v>Y</v>
      </c>
      <c r="O1134" s="1" t="str">
        <f t="shared" si="373"/>
        <v>Y</v>
      </c>
      <c r="P1134" s="1" t="str">
        <f t="shared" si="367"/>
        <v>Y</v>
      </c>
      <c r="Q1134" s="1" t="str">
        <f>"R"</f>
        <v>R</v>
      </c>
    </row>
    <row r="1135" spans="1:17" x14ac:dyDescent="0.3">
      <c r="A1135" s="1" t="str">
        <f t="shared" si="381"/>
        <v>D2</v>
      </c>
      <c r="B1135" s="1" t="str">
        <f>"GNUDB02"</f>
        <v>GNUDB02</v>
      </c>
      <c r="C1135" s="1" t="str">
        <f>"(좌측) 전음성 난청 의증"</f>
        <v>(좌측) 전음성 난청 의증</v>
      </c>
      <c r="D1135" s="1" t="str">
        <f>"과거 중이염 등의 전음성 난청으로 인한 청력손실이 의심됩니다. 이상 증상이 있을시 이비인후과 진료를 받으세요."</f>
        <v>과거 중이염 등의 전음성 난청으로 인한 청력손실이 의심됩니다. 이상 증상이 있을시 이비인후과 진료를 받으세요.</v>
      </c>
      <c r="E1135" s="1" t="str">
        <f t="shared" si="380"/>
        <v>WOK02</v>
      </c>
      <c r="F1135" s="1" t="str">
        <f t="shared" ref="F1135:F1150" si="382">"PTM04"</f>
        <v>PTM04</v>
      </c>
      <c r="G1135" s="1" t="str">
        <f>"DISH"</f>
        <v>DISH</v>
      </c>
      <c r="H1135" s="1" t="str">
        <f>"REL19"</f>
        <v>REL19</v>
      </c>
      <c r="I1135" s="1" t="str">
        <f>"01"</f>
        <v>01</v>
      </c>
      <c r="J1135" s="1" t="str">
        <f>"C55D"</f>
        <v>C55D</v>
      </c>
      <c r="K1135" s="1" t="str">
        <f>"C55D"</f>
        <v>C55D</v>
      </c>
      <c r="L1135" s="1" t="str">
        <f t="shared" si="363"/>
        <v>R</v>
      </c>
      <c r="M1135" s="1" t="str">
        <f>"T10"</f>
        <v>T10</v>
      </c>
      <c r="N1135" s="1" t="str">
        <f t="shared" si="364"/>
        <v>Y</v>
      </c>
      <c r="O1135" s="1" t="str">
        <f t="shared" si="373"/>
        <v>Y</v>
      </c>
      <c r="P1135" s="1" t="str">
        <f t="shared" si="367"/>
        <v>Y</v>
      </c>
      <c r="Q1135" s="1" t="str">
        <f>"L"</f>
        <v>L</v>
      </c>
    </row>
    <row r="1136" spans="1:17" x14ac:dyDescent="0.3">
      <c r="A1136" s="1" t="str">
        <f t="shared" si="381"/>
        <v>D2</v>
      </c>
      <c r="B1136" s="1" t="str">
        <f>"GNUGFS12"</f>
        <v>GNUGFS12</v>
      </c>
      <c r="C1136" s="1" t="str">
        <f>"식도암 의증"</f>
        <v>식도암 의증</v>
      </c>
      <c r="D1136" s="1" t="str">
        <f>"위내시경 검사에서 식도암 의심되는 부위 관찰됩니다. 소화기내과 진료 권유드립니다."</f>
        <v>위내시경 검사에서 식도암 의심되는 부위 관찰됩니다. 소화기내과 진료 권유드립니다.</v>
      </c>
      <c r="E1136" s="1" t="str">
        <f t="shared" si="380"/>
        <v>WOK02</v>
      </c>
      <c r="F1136" s="1" t="str">
        <f t="shared" si="382"/>
        <v>PTM04</v>
      </c>
      <c r="G1136" s="1" t="str">
        <f>"DIS600"</f>
        <v>DIS600</v>
      </c>
      <c r="H1136" s="1" t="str">
        <f>"REL37"</f>
        <v>REL37</v>
      </c>
      <c r="I1136" s="1" t="str">
        <f>"HWFIRE11"</f>
        <v>HWFIRE11</v>
      </c>
      <c r="J1136" s="1" t="str">
        <f>"N01D"</f>
        <v>N01D</v>
      </c>
      <c r="K1136" s="1" t="str">
        <f>"N01C"</f>
        <v>N01C</v>
      </c>
      <c r="L1136" s="1" t="str">
        <f t="shared" si="363"/>
        <v>R</v>
      </c>
      <c r="M1136" s="1" t="str">
        <f>"T201"</f>
        <v>T201</v>
      </c>
      <c r="N1136" s="1" t="str">
        <f t="shared" si="364"/>
        <v>Y</v>
      </c>
      <c r="O1136" s="1" t="str">
        <f t="shared" si="373"/>
        <v>Y</v>
      </c>
      <c r="P1136" s="1" t="str">
        <f t="shared" si="367"/>
        <v>Y</v>
      </c>
      <c r="Q1136" s="1" t="str">
        <f t="shared" ref="Q1136:Q1160" si="383">"A"</f>
        <v>A</v>
      </c>
    </row>
    <row r="1137" spans="1:17" x14ac:dyDescent="0.3">
      <c r="A1137" s="1" t="str">
        <f t="shared" si="381"/>
        <v>D2</v>
      </c>
      <c r="B1137" s="1" t="str">
        <f>"GNUGFS28"</f>
        <v>GNUGFS28</v>
      </c>
      <c r="C1137" s="1" t="str">
        <f>"위암 의증"</f>
        <v>위암 의증</v>
      </c>
      <c r="D1137" s="1" t="str">
        <f>"위내시경 검사에서 위암 의심되는 부위 관찰됩니다. 소화기내과 진료 권유드립니다."</f>
        <v>위내시경 검사에서 위암 의심되는 부위 관찰됩니다. 소화기내과 진료 권유드립니다.</v>
      </c>
      <c r="E1137" s="1" t="str">
        <f t="shared" si="380"/>
        <v>WOK02</v>
      </c>
      <c r="F1137" s="1" t="str">
        <f t="shared" si="382"/>
        <v>PTM04</v>
      </c>
      <c r="G1137" s="1" t="str">
        <f>"DIS600"</f>
        <v>DIS600</v>
      </c>
      <c r="H1137" s="1" t="str">
        <f>"REL37"</f>
        <v>REL37</v>
      </c>
      <c r="I1137" s="1" t="str">
        <f>"HWFIRE11"</f>
        <v>HWFIRE11</v>
      </c>
      <c r="J1137" s="1" t="str">
        <f>"N01D"</f>
        <v>N01D</v>
      </c>
      <c r="K1137" s="1" t="str">
        <f>"N01C"</f>
        <v>N01C</v>
      </c>
      <c r="L1137" s="1" t="str">
        <f t="shared" si="363"/>
        <v>R</v>
      </c>
      <c r="M1137" s="1" t="str">
        <f>"T201"</f>
        <v>T201</v>
      </c>
      <c r="N1137" s="1" t="str">
        <f t="shared" si="364"/>
        <v>Y</v>
      </c>
      <c r="O1137" s="1" t="str">
        <f t="shared" si="373"/>
        <v>Y</v>
      </c>
      <c r="P1137" s="1" t="str">
        <f t="shared" si="367"/>
        <v>Y</v>
      </c>
      <c r="Q1137" s="1" t="str">
        <f t="shared" si="383"/>
        <v>A</v>
      </c>
    </row>
    <row r="1138" spans="1:17" x14ac:dyDescent="0.3">
      <c r="A1138" s="1" t="str">
        <f t="shared" si="381"/>
        <v>D2</v>
      </c>
      <c r="B1138" s="1" t="str">
        <f>"GNUGFS29"</f>
        <v>GNUGFS29</v>
      </c>
      <c r="C1138" s="1" t="str">
        <f>"위 선종 의증"</f>
        <v>위 선종 의증</v>
      </c>
      <c r="D1138" s="1" t="str">
        <f>"위내시경 검사에서 위 선종 의심되는 부위 관찰됩니다. 위 선종은 위암의 전구단계에 해당하여 향후 암으로 진행하는 성질을 갖고 있어 확진되는 경우 제거하는 치료가 필요합니다. 상담 위해 소화기내과 진료 권유드립니다."</f>
        <v>위내시경 검사에서 위 선종 의심되는 부위 관찰됩니다. 위 선종은 위암의 전구단계에 해당하여 향후 암으로 진행하는 성질을 갖고 있어 확진되는 경우 제거하는 치료가 필요합니다. 상담 위해 소화기내과 진료 권유드립니다.</v>
      </c>
      <c r="E1138" s="1" t="str">
        <f t="shared" si="380"/>
        <v>WOK02</v>
      </c>
      <c r="F1138" s="1" t="str">
        <f t="shared" si="382"/>
        <v>PTM04</v>
      </c>
      <c r="G1138" s="1" t="str">
        <f>"DIS600"</f>
        <v>DIS600</v>
      </c>
      <c r="H1138" s="1" t="str">
        <f>"REL37"</f>
        <v>REL37</v>
      </c>
      <c r="I1138" s="1" t="str">
        <f>"HWFIRE11"</f>
        <v>HWFIRE11</v>
      </c>
      <c r="J1138" s="1" t="str">
        <f>"N01D"</f>
        <v>N01D</v>
      </c>
      <c r="K1138" s="1" t="str">
        <f>"N01C"</f>
        <v>N01C</v>
      </c>
      <c r="L1138" s="1" t="str">
        <f t="shared" si="363"/>
        <v>R</v>
      </c>
      <c r="M1138" s="1" t="str">
        <f>"T201"</f>
        <v>T201</v>
      </c>
      <c r="N1138" s="1" t="str">
        <f t="shared" si="364"/>
        <v>Y</v>
      </c>
      <c r="O1138" s="1" t="str">
        <f t="shared" si="373"/>
        <v>Y</v>
      </c>
      <c r="P1138" s="1" t="str">
        <f t="shared" si="367"/>
        <v>Y</v>
      </c>
      <c r="Q1138" s="1" t="str">
        <f t="shared" si="383"/>
        <v>A</v>
      </c>
    </row>
    <row r="1139" spans="1:17" x14ac:dyDescent="0.3">
      <c r="A1139" s="1" t="str">
        <f t="shared" si="381"/>
        <v>D2</v>
      </c>
      <c r="B1139" s="1" t="str">
        <f>"GNUGFS40"</f>
        <v>GNUGFS40</v>
      </c>
      <c r="C1139" s="1" t="str">
        <f>"십이지장 암 의증"</f>
        <v>십이지장 암 의증</v>
      </c>
      <c r="D1139" s="1" t="str">
        <f>"위내시경 검사에서 십이지장에 암으로 의심되는 부분이 관찰됩니다. 치료를 위해 빠른 시일 내에 의료기관을 방문하시어 진료 상담을 받으시기 바랍니다."</f>
        <v>위내시경 검사에서 십이지장에 암으로 의심되는 부분이 관찰됩니다. 치료를 위해 빠른 시일 내에 의료기관을 방문하시어 진료 상담을 받으시기 바랍니다.</v>
      </c>
      <c r="E1139" s="1" t="str">
        <f t="shared" si="380"/>
        <v>WOK02</v>
      </c>
      <c r="F1139" s="1" t="str">
        <f t="shared" si="382"/>
        <v>PTM04</v>
      </c>
      <c r="G1139" s="1" t="str">
        <f>"DIS600"</f>
        <v>DIS600</v>
      </c>
      <c r="H1139" s="1" t="str">
        <f>"REL37"</f>
        <v>REL37</v>
      </c>
      <c r="I1139" s="1" t="str">
        <f>"HWFIRE11"</f>
        <v>HWFIRE11</v>
      </c>
      <c r="J1139" s="1" t="str">
        <f>"N01D"</f>
        <v>N01D</v>
      </c>
      <c r="K1139" s="1" t="str">
        <f>"N01C"</f>
        <v>N01C</v>
      </c>
      <c r="L1139" s="1" t="str">
        <f t="shared" si="363"/>
        <v>R</v>
      </c>
      <c r="M1139" s="1" t="str">
        <f>"T201"</f>
        <v>T201</v>
      </c>
      <c r="N1139" s="1" t="str">
        <f t="shared" si="364"/>
        <v>Y</v>
      </c>
      <c r="O1139" s="1" t="str">
        <f t="shared" si="373"/>
        <v>Y</v>
      </c>
      <c r="P1139" s="1" t="str">
        <f t="shared" si="367"/>
        <v>Y</v>
      </c>
      <c r="Q1139" s="1" t="str">
        <f t="shared" si="383"/>
        <v>A</v>
      </c>
    </row>
    <row r="1140" spans="1:17" x14ac:dyDescent="0.3">
      <c r="A1140" s="1" t="str">
        <f t="shared" si="381"/>
        <v>D2</v>
      </c>
      <c r="B1140" s="1" t="str">
        <f>"GNX012"</f>
        <v>GNX012</v>
      </c>
      <c r="C1140" s="1" t="str">
        <f>"유질환자"</f>
        <v>유질환자</v>
      </c>
      <c r="D1140" s="1" t="str">
        <f>"흉부방사선 검사 결과……"</f>
        <v>흉부방사선 검사 결과……</v>
      </c>
      <c r="E1140" s="1" t="str">
        <f t="shared" si="380"/>
        <v>WOK02</v>
      </c>
      <c r="F1140" s="1" t="str">
        <f t="shared" si="382"/>
        <v>PTM04</v>
      </c>
      <c r="G1140" s="1" t="str">
        <f>"DISJ"</f>
        <v>DISJ</v>
      </c>
      <c r="H1140" s="1" t="str">
        <f>"REL15"</f>
        <v>REL15</v>
      </c>
      <c r="I1140" s="1" t="str">
        <f>""</f>
        <v/>
      </c>
      <c r="J1140" s="1" t="str">
        <f>"C40C"</f>
        <v>C40C</v>
      </c>
      <c r="K1140" s="1" t="str">
        <f>"C40C"</f>
        <v>C40C</v>
      </c>
      <c r="L1140" s="1" t="str">
        <f t="shared" si="363"/>
        <v>R</v>
      </c>
      <c r="M1140" s="1" t="str">
        <f>"T04"</f>
        <v>T04</v>
      </c>
      <c r="N1140" s="1" t="str">
        <f t="shared" si="364"/>
        <v>Y</v>
      </c>
      <c r="O1140" s="1" t="str">
        <f t="shared" si="373"/>
        <v>Y</v>
      </c>
      <c r="P1140" s="1" t="str">
        <f t="shared" si="367"/>
        <v>Y</v>
      </c>
      <c r="Q1140" s="1" t="str">
        <f t="shared" si="383"/>
        <v>A</v>
      </c>
    </row>
    <row r="1141" spans="1:17" x14ac:dyDescent="0.3">
      <c r="A1141" s="1" t="str">
        <f t="shared" si="381"/>
        <v>D2</v>
      </c>
      <c r="B1141" s="1" t="str">
        <f>"HEP303"</f>
        <v>HEP303</v>
      </c>
      <c r="C1141" s="1" t="str">
        <f>"간 질환의심"</f>
        <v>간 질환의심</v>
      </c>
      <c r="D1141" s="1" t="str">
        <f>"간기능 이상이 의심됩니다. 정확한 진단과 치료를 위해 내원진료 하시기 바랍니다."</f>
        <v>간기능 이상이 의심됩니다. 정확한 진단과 치료를 위해 내원진료 하시기 바랍니다.</v>
      </c>
      <c r="E1141" s="1" t="str">
        <f t="shared" si="380"/>
        <v>WOK02</v>
      </c>
      <c r="F1141" s="1" t="str">
        <f t="shared" si="382"/>
        <v>PTM04</v>
      </c>
      <c r="G1141" s="1" t="str">
        <f>"DISK"</f>
        <v>DISK</v>
      </c>
      <c r="H1141" s="1" t="str">
        <f>"REL05"</f>
        <v>REL05</v>
      </c>
      <c r="I1141" s="1" t="str">
        <f>""</f>
        <v/>
      </c>
      <c r="J1141" s="1" t="str">
        <f t="shared" ref="J1141:K1145" si="384">"C05D"</f>
        <v>C05D</v>
      </c>
      <c r="K1141" s="1" t="str">
        <f t="shared" si="384"/>
        <v>C05D</v>
      </c>
      <c r="L1141" s="1" t="str">
        <f t="shared" si="363"/>
        <v>R</v>
      </c>
      <c r="M1141" s="1" t="str">
        <f>"T02"</f>
        <v>T02</v>
      </c>
      <c r="N1141" s="1" t="str">
        <f t="shared" si="364"/>
        <v>Y</v>
      </c>
      <c r="O1141" s="1" t="str">
        <f t="shared" ref="O1141:O1161" si="385">"Y"</f>
        <v>Y</v>
      </c>
      <c r="P1141" s="1" t="str">
        <f t="shared" si="367"/>
        <v>Y</v>
      </c>
      <c r="Q1141" s="1" t="str">
        <f t="shared" si="383"/>
        <v>A</v>
      </c>
    </row>
    <row r="1142" spans="1:17" x14ac:dyDescent="0.3">
      <c r="A1142" s="1" t="str">
        <f t="shared" si="381"/>
        <v>D2</v>
      </c>
      <c r="B1142" s="1" t="str">
        <f>"HEP305"</f>
        <v>HEP305</v>
      </c>
      <c r="C1142" s="1" t="str">
        <f>"황달수치 상승"</f>
        <v>황달수치 상승</v>
      </c>
      <c r="D1142" s="1" t="str">
        <f>"간기능 검사중 총 빌리루빈 수치가 높습니다. 소화기 내과 상담 및 1개월내 재검사를 받으시기 바랍니다."</f>
        <v>간기능 검사중 총 빌리루빈 수치가 높습니다. 소화기 내과 상담 및 1개월내 재검사를 받으시기 바랍니다.</v>
      </c>
      <c r="E1142" s="1" t="str">
        <f t="shared" si="380"/>
        <v>WOK02</v>
      </c>
      <c r="F1142" s="1" t="str">
        <f t="shared" si="382"/>
        <v>PTM04</v>
      </c>
      <c r="G1142" s="1" t="str">
        <f>"DISK"</f>
        <v>DISK</v>
      </c>
      <c r="H1142" s="1" t="str">
        <f>"REL05"</f>
        <v>REL05</v>
      </c>
      <c r="I1142" s="1" t="str">
        <f>""</f>
        <v/>
      </c>
      <c r="J1142" s="1" t="str">
        <f t="shared" si="384"/>
        <v>C05D</v>
      </c>
      <c r="K1142" s="1" t="str">
        <f t="shared" si="384"/>
        <v>C05D</v>
      </c>
      <c r="L1142" s="1" t="str">
        <f t="shared" si="363"/>
        <v>R</v>
      </c>
      <c r="M1142" s="1" t="str">
        <f>"T02"</f>
        <v>T02</v>
      </c>
      <c r="N1142" s="1" t="str">
        <f t="shared" si="364"/>
        <v>Y</v>
      </c>
      <c r="O1142" s="1" t="str">
        <f t="shared" si="385"/>
        <v>Y</v>
      </c>
      <c r="P1142" s="1" t="str">
        <f t="shared" si="367"/>
        <v>Y</v>
      </c>
      <c r="Q1142" s="1" t="str">
        <f t="shared" si="383"/>
        <v>A</v>
      </c>
    </row>
    <row r="1143" spans="1:17" x14ac:dyDescent="0.3">
      <c r="A1143" s="1" t="str">
        <f t="shared" si="381"/>
        <v>D2</v>
      </c>
      <c r="B1143" s="1" t="str">
        <f>"HEP310"</f>
        <v>HEP310</v>
      </c>
      <c r="C1143" s="1" t="str">
        <f>"만성B형간염"</f>
        <v>만성B형간염</v>
      </c>
      <c r="D1143" s="1" t="str">
        <f>"만성B형간염상태로 보입니다. 음주 및 과로 삼가하시고 정기적 간기능 및 간염관련 진료를 받으세요."</f>
        <v>만성B형간염상태로 보입니다. 음주 및 과로 삼가하시고 정기적 간기능 및 간염관련 진료를 받으세요.</v>
      </c>
      <c r="E1143" s="1" t="str">
        <f t="shared" si="380"/>
        <v>WOK02</v>
      </c>
      <c r="F1143" s="1" t="str">
        <f t="shared" si="382"/>
        <v>PTM04</v>
      </c>
      <c r="G1143" s="1" t="str">
        <f>"DISB"</f>
        <v>DISB</v>
      </c>
      <c r="H1143" s="1" t="str">
        <f>"REL05"</f>
        <v>REL05</v>
      </c>
      <c r="I1143" s="1" t="str">
        <f>""</f>
        <v/>
      </c>
      <c r="J1143" s="1" t="str">
        <f t="shared" si="384"/>
        <v>C05D</v>
      </c>
      <c r="K1143" s="1" t="str">
        <f t="shared" si="384"/>
        <v>C05D</v>
      </c>
      <c r="L1143" s="1" t="str">
        <f t="shared" si="363"/>
        <v>R</v>
      </c>
      <c r="M1143" s="1" t="str">
        <f>"T02"</f>
        <v>T02</v>
      </c>
      <c r="N1143" s="1" t="str">
        <f t="shared" si="364"/>
        <v>Y</v>
      </c>
      <c r="O1143" s="1" t="str">
        <f t="shared" si="385"/>
        <v>Y</v>
      </c>
      <c r="P1143" s="1" t="str">
        <f t="shared" si="367"/>
        <v>Y</v>
      </c>
      <c r="Q1143" s="1" t="str">
        <f t="shared" si="383"/>
        <v>A</v>
      </c>
    </row>
    <row r="1144" spans="1:17" x14ac:dyDescent="0.3">
      <c r="A1144" s="1" t="str">
        <f t="shared" si="381"/>
        <v>D2</v>
      </c>
      <c r="B1144" s="1" t="str">
        <f>"HEP401"</f>
        <v>HEP401</v>
      </c>
      <c r="C1144" s="1" t="str">
        <f>"간 질환"</f>
        <v>간 질환</v>
      </c>
      <c r="D1144" s="1" t="str">
        <f>"치료가 필요한 간장질환 상태로 판단됩니다. 내원하셔서 치료를 받으세요"</f>
        <v>치료가 필요한 간장질환 상태로 판단됩니다. 내원하셔서 치료를 받으세요</v>
      </c>
      <c r="E1144" s="1" t="str">
        <f t="shared" si="380"/>
        <v>WOK02</v>
      </c>
      <c r="F1144" s="1" t="str">
        <f t="shared" si="382"/>
        <v>PTM04</v>
      </c>
      <c r="G1144" s="1" t="str">
        <f>"DISK"</f>
        <v>DISK</v>
      </c>
      <c r="H1144" s="1" t="str">
        <f>"REL05"</f>
        <v>REL05</v>
      </c>
      <c r="I1144" s="1" t="str">
        <f>""</f>
        <v/>
      </c>
      <c r="J1144" s="1" t="str">
        <f t="shared" si="384"/>
        <v>C05D</v>
      </c>
      <c r="K1144" s="1" t="str">
        <f t="shared" si="384"/>
        <v>C05D</v>
      </c>
      <c r="L1144" s="1" t="str">
        <f t="shared" si="363"/>
        <v>R</v>
      </c>
      <c r="M1144" s="1" t="str">
        <f>"T02"</f>
        <v>T02</v>
      </c>
      <c r="N1144" s="1" t="str">
        <f t="shared" si="364"/>
        <v>Y</v>
      </c>
      <c r="O1144" s="1" t="str">
        <f t="shared" si="385"/>
        <v>Y</v>
      </c>
      <c r="P1144" s="1" t="str">
        <f t="shared" si="367"/>
        <v>Y</v>
      </c>
      <c r="Q1144" s="1" t="str">
        <f t="shared" si="383"/>
        <v>A</v>
      </c>
    </row>
    <row r="1145" spans="1:17" x14ac:dyDescent="0.3">
      <c r="A1145" s="1" t="str">
        <f t="shared" si="381"/>
        <v>D2</v>
      </c>
      <c r="B1145" s="1" t="str">
        <f>"HEPLT6"</f>
        <v>HEPLT6</v>
      </c>
      <c r="C1145" s="1" t="str">
        <f>"간 질환"</f>
        <v>간 질환</v>
      </c>
      <c r="D1145" s="1" t="str">
        <f>"간 수치가 높습니다. 원인 확인과 치료가 필요하니 내과 또는 가정의학과 진료를 받으세요."</f>
        <v>간 수치가 높습니다. 원인 확인과 치료가 필요하니 내과 또는 가정의학과 진료를 받으세요.</v>
      </c>
      <c r="E1145" s="1" t="str">
        <f t="shared" si="380"/>
        <v>WOK02</v>
      </c>
      <c r="F1145" s="1" t="str">
        <f t="shared" si="382"/>
        <v>PTM04</v>
      </c>
      <c r="G1145" s="1" t="str">
        <f>"DISK"</f>
        <v>DISK</v>
      </c>
      <c r="H1145" s="1" t="str">
        <f>"REL05"</f>
        <v>REL05</v>
      </c>
      <c r="I1145" s="1" t="str">
        <f>""</f>
        <v/>
      </c>
      <c r="J1145" s="1" t="str">
        <f t="shared" si="384"/>
        <v>C05D</v>
      </c>
      <c r="K1145" s="1" t="str">
        <f t="shared" si="384"/>
        <v>C05D</v>
      </c>
      <c r="L1145" s="1" t="str">
        <f t="shared" si="363"/>
        <v>R</v>
      </c>
      <c r="M1145" s="1" t="str">
        <f>"T02"</f>
        <v>T02</v>
      </c>
      <c r="N1145" s="1" t="str">
        <f t="shared" si="364"/>
        <v>Y</v>
      </c>
      <c r="O1145" s="1" t="str">
        <f t="shared" si="385"/>
        <v>Y</v>
      </c>
      <c r="P1145" s="1" t="str">
        <f t="shared" si="367"/>
        <v>Y</v>
      </c>
      <c r="Q1145" s="1" t="str">
        <f t="shared" si="383"/>
        <v>A</v>
      </c>
    </row>
    <row r="1146" spans="1:17" x14ac:dyDescent="0.3">
      <c r="A1146" s="1" t="str">
        <f t="shared" si="381"/>
        <v>D2</v>
      </c>
      <c r="B1146" s="1" t="str">
        <f>"HPT401"</f>
        <v>HPT401</v>
      </c>
      <c r="C1146" s="1" t="str">
        <f>"고혈압"</f>
        <v>고혈압</v>
      </c>
      <c r="D1146" s="1" t="str">
        <f>"고혈압이 의심됩니다. 정확한 진단과 치료를 위해 가까운 의료기관을 방문하여 주시기 바랍니다."</f>
        <v>고혈압이 의심됩니다. 정확한 진단과 치료를 위해 가까운 의료기관을 방문하여 주시기 바랍니다.</v>
      </c>
      <c r="E1146" s="1" t="str">
        <f t="shared" si="380"/>
        <v>WOK02</v>
      </c>
      <c r="F1146" s="1" t="str">
        <f t="shared" si="382"/>
        <v>PTM04</v>
      </c>
      <c r="G1146" s="1" t="str">
        <f>"DISI"</f>
        <v>DISI</v>
      </c>
      <c r="H1146" s="1" t="str">
        <f>"REL03"</f>
        <v>REL03</v>
      </c>
      <c r="I1146" s="1" t="str">
        <f>""</f>
        <v/>
      </c>
      <c r="J1146" s="1" t="str">
        <f t="shared" ref="J1146:K1148" si="386">"C03D"</f>
        <v>C03D</v>
      </c>
      <c r="K1146" s="1" t="str">
        <f t="shared" si="386"/>
        <v>C03D</v>
      </c>
      <c r="L1146" s="1" t="str">
        <f t="shared" si="363"/>
        <v>R</v>
      </c>
      <c r="M1146" s="1" t="str">
        <f>"T03"</f>
        <v>T03</v>
      </c>
      <c r="N1146" s="1" t="str">
        <f t="shared" si="364"/>
        <v>Y</v>
      </c>
      <c r="O1146" s="1" t="str">
        <f t="shared" si="385"/>
        <v>Y</v>
      </c>
      <c r="P1146" s="1" t="str">
        <f t="shared" si="367"/>
        <v>Y</v>
      </c>
      <c r="Q1146" s="1" t="str">
        <f t="shared" si="383"/>
        <v>A</v>
      </c>
    </row>
    <row r="1147" spans="1:17" x14ac:dyDescent="0.3">
      <c r="A1147" s="1" t="str">
        <f t="shared" si="381"/>
        <v>D2</v>
      </c>
      <c r="B1147" s="1" t="str">
        <f>"HPTLT2"</f>
        <v>HPTLT2</v>
      </c>
      <c r="C1147" s="1" t="str">
        <f>"고혈압 질환"</f>
        <v>고혈압 질환</v>
      </c>
      <c r="D1147" s="1" t="str">
        <f>"고혈압이 의심됩니다. 정확한 진단과 치료를 위해 가까운 의료기관을 방문하여 주시기 바랍니다."</f>
        <v>고혈압이 의심됩니다. 정확한 진단과 치료를 위해 가까운 의료기관을 방문하여 주시기 바랍니다.</v>
      </c>
      <c r="E1147" s="1" t="str">
        <f t="shared" si="380"/>
        <v>WOK02</v>
      </c>
      <c r="F1147" s="1" t="str">
        <f t="shared" si="382"/>
        <v>PTM04</v>
      </c>
      <c r="G1147" s="1" t="str">
        <f>"DISI"</f>
        <v>DISI</v>
      </c>
      <c r="H1147" s="1" t="str">
        <f>"REL03"</f>
        <v>REL03</v>
      </c>
      <c r="I1147" s="1" t="str">
        <f>""</f>
        <v/>
      </c>
      <c r="J1147" s="1" t="str">
        <f t="shared" si="386"/>
        <v>C03D</v>
      </c>
      <c r="K1147" s="1" t="str">
        <f t="shared" si="386"/>
        <v>C03D</v>
      </c>
      <c r="L1147" s="1" t="str">
        <f t="shared" si="363"/>
        <v>R</v>
      </c>
      <c r="M1147" s="1" t="str">
        <f>"T05"</f>
        <v>T05</v>
      </c>
      <c r="N1147" s="1" t="str">
        <f t="shared" si="364"/>
        <v>Y</v>
      </c>
      <c r="O1147" s="1" t="str">
        <f t="shared" si="385"/>
        <v>Y</v>
      </c>
      <c r="P1147" s="1" t="str">
        <f t="shared" si="367"/>
        <v>Y</v>
      </c>
      <c r="Q1147" s="1" t="str">
        <f t="shared" si="383"/>
        <v>A</v>
      </c>
    </row>
    <row r="1148" spans="1:17" x14ac:dyDescent="0.3">
      <c r="A1148" s="1" t="str">
        <f t="shared" si="381"/>
        <v>D2</v>
      </c>
      <c r="B1148" s="1" t="str">
        <f>"HPTLT5"</f>
        <v>HPTLT5</v>
      </c>
      <c r="C1148" s="1" t="str">
        <f>"고혈압 의심"</f>
        <v>고혈압 의심</v>
      </c>
      <c r="D1148" s="1" t="str">
        <f>"고혈압이 의심됩니다. 정확한 진단과 치료를 위해 가까운 의료기관을 방문하여 주시기 바랍니다."</f>
        <v>고혈압이 의심됩니다. 정확한 진단과 치료를 위해 가까운 의료기관을 방문하여 주시기 바랍니다.</v>
      </c>
      <c r="E1148" s="1" t="str">
        <f t="shared" si="380"/>
        <v>WOK02</v>
      </c>
      <c r="F1148" s="1" t="str">
        <f t="shared" si="382"/>
        <v>PTM04</v>
      </c>
      <c r="G1148" s="1" t="str">
        <f>"DISI"</f>
        <v>DISI</v>
      </c>
      <c r="H1148" s="1" t="str">
        <f>"REL03"</f>
        <v>REL03</v>
      </c>
      <c r="I1148" s="1" t="str">
        <f>""</f>
        <v/>
      </c>
      <c r="J1148" s="1" t="str">
        <f t="shared" si="386"/>
        <v>C03D</v>
      </c>
      <c r="K1148" s="1" t="str">
        <f t="shared" si="386"/>
        <v>C03D</v>
      </c>
      <c r="L1148" s="1" t="str">
        <f t="shared" si="363"/>
        <v>R</v>
      </c>
      <c r="M1148" s="1" t="str">
        <f>"T03"</f>
        <v>T03</v>
      </c>
      <c r="N1148" s="1" t="str">
        <f t="shared" si="364"/>
        <v>Y</v>
      </c>
      <c r="O1148" s="1" t="str">
        <f t="shared" si="385"/>
        <v>Y</v>
      </c>
      <c r="P1148" s="1" t="str">
        <f t="shared" si="367"/>
        <v>Y</v>
      </c>
      <c r="Q1148" s="1" t="str">
        <f t="shared" si="383"/>
        <v>A</v>
      </c>
    </row>
    <row r="1149" spans="1:17" x14ac:dyDescent="0.3">
      <c r="A1149" s="1" t="str">
        <f t="shared" si="381"/>
        <v>D2</v>
      </c>
      <c r="B1149" s="1" t="str">
        <f>"HTULT3"</f>
        <v>HTULT3</v>
      </c>
      <c r="C1149" s="1" t="str">
        <f>"혈뇨 검출"</f>
        <v>혈뇨 검출</v>
      </c>
      <c r="D1149" s="1" t="str">
        <f>"소변검사에서 다량의 혈뇨가 확인됩니다. 내과 내원하여 진단 및 치료 바랍니다."</f>
        <v>소변검사에서 다량의 혈뇨가 확인됩니다. 내과 내원하여 진단 및 치료 바랍니다.</v>
      </c>
      <c r="E1149" s="1" t="str">
        <f t="shared" si="380"/>
        <v>WOK02</v>
      </c>
      <c r="F1149" s="1" t="str">
        <f t="shared" si="382"/>
        <v>PTM04</v>
      </c>
      <c r="G1149" s="1" t="str">
        <f>"DISN"</f>
        <v>DISN</v>
      </c>
      <c r="H1149" s="1" t="str">
        <f>"REL09"</f>
        <v>REL09</v>
      </c>
      <c r="I1149" s="1" t="str">
        <f>""</f>
        <v/>
      </c>
      <c r="J1149" s="1" t="str">
        <f>"C07D"</f>
        <v>C07D</v>
      </c>
      <c r="K1149" s="1" t="str">
        <f>"C07D"</f>
        <v>C07D</v>
      </c>
      <c r="L1149" s="1" t="str">
        <f t="shared" si="363"/>
        <v>R</v>
      </c>
      <c r="M1149" s="1" t="str">
        <f>"T05"</f>
        <v>T05</v>
      </c>
      <c r="N1149" s="1" t="str">
        <f t="shared" si="364"/>
        <v>Y</v>
      </c>
      <c r="O1149" s="1" t="str">
        <f t="shared" si="385"/>
        <v>Y</v>
      </c>
      <c r="P1149" s="1" t="str">
        <f t="shared" si="367"/>
        <v>Y</v>
      </c>
      <c r="Q1149" s="1" t="str">
        <f t="shared" si="383"/>
        <v>A</v>
      </c>
    </row>
    <row r="1150" spans="1:17" x14ac:dyDescent="0.3">
      <c r="A1150" s="1" t="str">
        <f t="shared" si="381"/>
        <v>D2</v>
      </c>
      <c r="B1150" s="1" t="str">
        <f>"IL01ANE401"</f>
        <v>IL01ANE401</v>
      </c>
      <c r="C1150" s="1" t="str">
        <f>"빈혈"</f>
        <v>빈혈</v>
      </c>
      <c r="D1150" s="1" t="s">
        <v>361</v>
      </c>
      <c r="E1150" s="1" t="str">
        <f t="shared" si="380"/>
        <v>WOK02</v>
      </c>
      <c r="F1150" s="1" t="str">
        <f t="shared" si="382"/>
        <v>PTM04</v>
      </c>
      <c r="G1150" s="1" t="str">
        <f>"DISD"</f>
        <v>DISD</v>
      </c>
      <c r="H1150" s="1" t="str">
        <f>"REL12"</f>
        <v>REL12</v>
      </c>
      <c r="I1150" s="1" t="str">
        <f>""</f>
        <v/>
      </c>
      <c r="J1150" s="1" t="str">
        <f>"C08C"</f>
        <v>C08C</v>
      </c>
      <c r="K1150" s="1" t="str">
        <f>"C08C"</f>
        <v>C08C</v>
      </c>
      <c r="L1150" s="1" t="str">
        <f t="shared" si="363"/>
        <v>R</v>
      </c>
      <c r="M1150" s="1" t="str">
        <f>"T01"</f>
        <v>T01</v>
      </c>
      <c r="N1150" s="1" t="str">
        <f t="shared" si="364"/>
        <v>Y</v>
      </c>
      <c r="O1150" s="1" t="str">
        <f t="shared" si="385"/>
        <v>Y</v>
      </c>
      <c r="P1150" s="1" t="str">
        <f t="shared" si="367"/>
        <v>Y</v>
      </c>
      <c r="Q1150" s="1" t="str">
        <f t="shared" si="383"/>
        <v>A</v>
      </c>
    </row>
    <row r="1151" spans="1:17" x14ac:dyDescent="0.3">
      <c r="A1151" s="1" t="str">
        <f t="shared" si="381"/>
        <v>D2</v>
      </c>
      <c r="B1151" s="1" t="str">
        <f>"IL01DMDLT4"</f>
        <v>IL01DMDLT4</v>
      </c>
      <c r="C1151" s="1" t="str">
        <f>"당뇨병"</f>
        <v>당뇨병</v>
      </c>
      <c r="D1151" s="1" t="str">
        <f>"당뇨병이 있습니다. 내과나 가정의학과 진료를 받으세요."</f>
        <v>당뇨병이 있습니다. 내과나 가정의학과 진료를 받으세요.</v>
      </c>
      <c r="E1151" s="1" t="str">
        <f t="shared" si="380"/>
        <v>WOK02</v>
      </c>
      <c r="F1151" s="1" t="str">
        <f>"PTM01"</f>
        <v>PTM01</v>
      </c>
      <c r="G1151" s="1" t="str">
        <f>"DISE"</f>
        <v>DISE</v>
      </c>
      <c r="H1151" s="1" t="str">
        <f>"REL07"</f>
        <v>REL07</v>
      </c>
      <c r="I1151" s="1" t="str">
        <f>""</f>
        <v/>
      </c>
      <c r="J1151" s="1" t="str">
        <f>"C06D"</f>
        <v>C06D</v>
      </c>
      <c r="K1151" s="1" t="str">
        <f>"C06D"</f>
        <v>C06D</v>
      </c>
      <c r="L1151" s="1" t="str">
        <f t="shared" si="363"/>
        <v>R</v>
      </c>
      <c r="M1151" s="1" t="str">
        <f>"T03"</f>
        <v>T03</v>
      </c>
      <c r="N1151" s="1" t="str">
        <f t="shared" si="364"/>
        <v>Y</v>
      </c>
      <c r="O1151" s="1" t="str">
        <f t="shared" si="385"/>
        <v>Y</v>
      </c>
      <c r="P1151" s="1" t="str">
        <f t="shared" si="367"/>
        <v>Y</v>
      </c>
      <c r="Q1151" s="1" t="str">
        <f t="shared" si="383"/>
        <v>A</v>
      </c>
    </row>
    <row r="1152" spans="1:17" x14ac:dyDescent="0.3">
      <c r="A1152" s="1" t="str">
        <f t="shared" si="381"/>
        <v>D2</v>
      </c>
      <c r="B1152" s="1" t="str">
        <f>"IL01HEP104"</f>
        <v>IL01HEP104</v>
      </c>
      <c r="C1152" s="1" t="str">
        <f>"간 질환의심"</f>
        <v>간 질환의심</v>
      </c>
      <c r="D1152" s="1" t="str">
        <f>"간기능 수치가 정상 범위를 벗어났습니다. 원인 감별과 적절한 치료를 위하여 내과 진료를 받으시기 바랍니다."</f>
        <v>간기능 수치가 정상 범위를 벗어났습니다. 원인 감별과 적절한 치료를 위하여 내과 진료를 받으시기 바랍니다.</v>
      </c>
      <c r="E1152" s="1" t="str">
        <f t="shared" si="380"/>
        <v>WOK02</v>
      </c>
      <c r="F1152" s="1" t="str">
        <f>"PTM00"</f>
        <v>PTM00</v>
      </c>
      <c r="G1152" s="1" t="str">
        <f>"DISK"</f>
        <v>DISK</v>
      </c>
      <c r="H1152" s="1" t="str">
        <f>"REL05"</f>
        <v>REL05</v>
      </c>
      <c r="I1152" s="1" t="str">
        <f>""</f>
        <v/>
      </c>
      <c r="J1152" s="1" t="str">
        <f>"C41D"</f>
        <v>C41D</v>
      </c>
      <c r="K1152" s="1" t="str">
        <f>"C41D"</f>
        <v>C41D</v>
      </c>
      <c r="L1152" s="1" t="str">
        <f t="shared" si="363"/>
        <v>R</v>
      </c>
      <c r="M1152" s="1" t="str">
        <f>"T02"</f>
        <v>T02</v>
      </c>
      <c r="N1152" s="1" t="str">
        <f t="shared" si="364"/>
        <v>Y</v>
      </c>
      <c r="O1152" s="1" t="str">
        <f t="shared" si="385"/>
        <v>Y</v>
      </c>
      <c r="P1152" s="1" t="str">
        <f t="shared" si="367"/>
        <v>Y</v>
      </c>
      <c r="Q1152" s="1" t="str">
        <f t="shared" si="383"/>
        <v>A</v>
      </c>
    </row>
    <row r="1153" spans="1:17" x14ac:dyDescent="0.3">
      <c r="A1153" s="1" t="str">
        <f t="shared" si="381"/>
        <v>D2</v>
      </c>
      <c r="B1153" s="1" t="str">
        <f>"IL01HEP303"</f>
        <v>IL01HEP303</v>
      </c>
      <c r="C1153" s="1" t="str">
        <f>"간 질환의심"</f>
        <v>간 질환의심</v>
      </c>
      <c r="D1153" s="1" t="s">
        <v>362</v>
      </c>
      <c r="E1153" s="1" t="str">
        <f t="shared" si="380"/>
        <v>WOK02</v>
      </c>
      <c r="F1153" s="1" t="str">
        <f t="shared" ref="F1153:F1160" si="387">"PTM04"</f>
        <v>PTM04</v>
      </c>
      <c r="G1153" s="1" t="str">
        <f>"DISK"</f>
        <v>DISK</v>
      </c>
      <c r="H1153" s="1" t="str">
        <f>"REL05"</f>
        <v>REL05</v>
      </c>
      <c r="I1153" s="1" t="str">
        <f>""</f>
        <v/>
      </c>
      <c r="J1153" s="1" t="str">
        <f>"C05D"</f>
        <v>C05D</v>
      </c>
      <c r="K1153" s="1" t="str">
        <f>"C05D"</f>
        <v>C05D</v>
      </c>
      <c r="L1153" s="1" t="str">
        <f t="shared" si="363"/>
        <v>R</v>
      </c>
      <c r="M1153" s="1" t="str">
        <f>"T02"</f>
        <v>T02</v>
      </c>
      <c r="N1153" s="1" t="str">
        <f t="shared" si="364"/>
        <v>Y</v>
      </c>
      <c r="O1153" s="1" t="str">
        <f t="shared" si="385"/>
        <v>Y</v>
      </c>
      <c r="P1153" s="1" t="str">
        <f t="shared" si="367"/>
        <v>Y</v>
      </c>
      <c r="Q1153" s="1" t="str">
        <f t="shared" si="383"/>
        <v>A</v>
      </c>
    </row>
    <row r="1154" spans="1:17" x14ac:dyDescent="0.3">
      <c r="A1154" s="1" t="str">
        <f t="shared" si="381"/>
        <v>D2</v>
      </c>
      <c r="B1154" s="1" t="str">
        <f>"IL01J0209"</f>
        <v>IL01J0209</v>
      </c>
      <c r="C1154" s="1" t="str">
        <f>"고지혈증"</f>
        <v>고지혈증</v>
      </c>
      <c r="D1154" s="1" t="str">
        <f>"혈중 콜레스테롤과 중성지방산의 농도가 높습니다. 이런 상태를 계속 유지하면 심혈관계질환의 발생 가능성이 높습니다. 바로 내과나 가정의학과에서 진료받으세요."</f>
        <v>혈중 콜레스테롤과 중성지방산의 농도가 높습니다. 이런 상태를 계속 유지하면 심혈관계질환의 발생 가능성이 높습니다. 바로 내과나 가정의학과에서 진료받으세요.</v>
      </c>
      <c r="E1154" s="1" t="str">
        <f t="shared" si="380"/>
        <v>WOK02</v>
      </c>
      <c r="F1154" s="1" t="str">
        <f t="shared" si="387"/>
        <v>PTM04</v>
      </c>
      <c r="G1154" s="1" t="str">
        <f>"DISE"</f>
        <v>DISE</v>
      </c>
      <c r="H1154" s="1" t="str">
        <f>"REL04"</f>
        <v>REL04</v>
      </c>
      <c r="I1154" s="1" t="str">
        <f>""</f>
        <v/>
      </c>
      <c r="J1154" s="1" t="str">
        <f>"C04D"</f>
        <v>C04D</v>
      </c>
      <c r="K1154" s="1" t="str">
        <f>"C04D"</f>
        <v>C04D</v>
      </c>
      <c r="L1154" s="1" t="str">
        <f t="shared" si="363"/>
        <v>R</v>
      </c>
      <c r="M1154" s="1" t="str">
        <f>"T03"</f>
        <v>T03</v>
      </c>
      <c r="N1154" s="1" t="str">
        <f t="shared" si="364"/>
        <v>Y</v>
      </c>
      <c r="O1154" s="1" t="str">
        <f t="shared" si="385"/>
        <v>Y</v>
      </c>
      <c r="P1154" s="1" t="str">
        <f t="shared" si="367"/>
        <v>Y</v>
      </c>
      <c r="Q1154" s="1" t="str">
        <f t="shared" si="383"/>
        <v>A</v>
      </c>
    </row>
    <row r="1155" spans="1:17" x14ac:dyDescent="0.3">
      <c r="A1155" s="1" t="str">
        <f t="shared" si="381"/>
        <v>D2</v>
      </c>
      <c r="B1155" s="1" t="str">
        <f>"IL01J0239"</f>
        <v>IL01J0239</v>
      </c>
      <c r="C1155" s="1" t="str">
        <f>"고혈압(2차)"</f>
        <v>고혈압(2차)</v>
      </c>
      <c r="D1155" s="1" t="str">
        <f>"고혈압이 있습니다. 증상이 없더라도 치료를 받아야 합니다. 내과나 가정의학과에서 진료를 받으세요."</f>
        <v>고혈압이 있습니다. 증상이 없더라도 치료를 받아야 합니다. 내과나 가정의학과에서 진료를 받으세요.</v>
      </c>
      <c r="E1155" s="1" t="str">
        <f t="shared" si="380"/>
        <v>WOK02</v>
      </c>
      <c r="F1155" s="1" t="str">
        <f t="shared" si="387"/>
        <v>PTM04</v>
      </c>
      <c r="G1155" s="1" t="str">
        <f>"DISI"</f>
        <v>DISI</v>
      </c>
      <c r="H1155" s="1" t="str">
        <f>"REL03"</f>
        <v>REL03</v>
      </c>
      <c r="I1155" s="1" t="str">
        <f>""</f>
        <v/>
      </c>
      <c r="J1155" s="1" t="str">
        <f>"C03D"</f>
        <v>C03D</v>
      </c>
      <c r="K1155" s="1" t="str">
        <f>"C03D"</f>
        <v>C03D</v>
      </c>
      <c r="L1155" s="1" t="str">
        <f t="shared" si="363"/>
        <v>R</v>
      </c>
      <c r="M1155" s="1" t="str">
        <f>"T03"</f>
        <v>T03</v>
      </c>
      <c r="N1155" s="1" t="str">
        <f t="shared" si="364"/>
        <v>Y</v>
      </c>
      <c r="O1155" s="1" t="str">
        <f t="shared" si="385"/>
        <v>Y</v>
      </c>
      <c r="P1155" s="1" t="str">
        <f t="shared" si="367"/>
        <v>Y</v>
      </c>
      <c r="Q1155" s="1" t="str">
        <f t="shared" si="383"/>
        <v>A</v>
      </c>
    </row>
    <row r="1156" spans="1:17" x14ac:dyDescent="0.3">
      <c r="A1156" s="1" t="str">
        <f t="shared" si="381"/>
        <v>D2</v>
      </c>
      <c r="B1156" s="1" t="str">
        <f>"IL01J0269"</f>
        <v>IL01J0269</v>
      </c>
      <c r="C1156" s="1" t="str">
        <f>"신장질환 (투석 상태)"</f>
        <v>신장질환 (투석 상태)</v>
      </c>
      <c r="D1156" s="1" t="s">
        <v>363</v>
      </c>
      <c r="E1156" s="1" t="str">
        <f t="shared" si="380"/>
        <v>WOK02</v>
      </c>
      <c r="F1156" s="1" t="str">
        <f t="shared" si="387"/>
        <v>PTM04</v>
      </c>
      <c r="G1156" s="1" t="str">
        <f>"DISN"</f>
        <v>DISN</v>
      </c>
      <c r="H1156" s="1" t="str">
        <f>"REL08"</f>
        <v>REL08</v>
      </c>
      <c r="I1156" s="1" t="str">
        <f>""</f>
        <v/>
      </c>
      <c r="J1156" s="1" t="str">
        <f>"C07D"</f>
        <v>C07D</v>
      </c>
      <c r="K1156" s="1" t="str">
        <f>"C07D"</f>
        <v>C07D</v>
      </c>
      <c r="L1156" s="1" t="str">
        <f t="shared" si="363"/>
        <v>R</v>
      </c>
      <c r="M1156" s="1" t="str">
        <f>"T05"</f>
        <v>T05</v>
      </c>
      <c r="N1156" s="1" t="str">
        <f t="shared" si="364"/>
        <v>Y</v>
      </c>
      <c r="O1156" s="1" t="str">
        <f t="shared" si="385"/>
        <v>Y</v>
      </c>
      <c r="P1156" s="1" t="str">
        <f t="shared" si="367"/>
        <v>Y</v>
      </c>
      <c r="Q1156" s="1" t="str">
        <f t="shared" si="383"/>
        <v>A</v>
      </c>
    </row>
    <row r="1157" spans="1:17" x14ac:dyDescent="0.3">
      <c r="A1157" s="1" t="str">
        <f t="shared" si="381"/>
        <v>D2</v>
      </c>
      <c r="B1157" s="1" t="str">
        <f>"IL01LIP404"</f>
        <v>IL01LIP404</v>
      </c>
      <c r="C1157" s="1" t="str">
        <f>"이상지질혈증"</f>
        <v>이상지질혈증</v>
      </c>
      <c r="D1157" s="1" t="str">
        <f>"내과진료 권고"</f>
        <v>내과진료 권고</v>
      </c>
      <c r="E1157" s="1" t="str">
        <f t="shared" si="380"/>
        <v>WOK02</v>
      </c>
      <c r="F1157" s="1" t="str">
        <f t="shared" si="387"/>
        <v>PTM04</v>
      </c>
      <c r="G1157" s="1" t="str">
        <f>"DISE"</f>
        <v>DISE</v>
      </c>
      <c r="H1157" s="1" t="str">
        <f>"REL04"</f>
        <v>REL04</v>
      </c>
      <c r="I1157" s="1" t="str">
        <f>""</f>
        <v/>
      </c>
      <c r="J1157" s="1" t="str">
        <f>"C04D"</f>
        <v>C04D</v>
      </c>
      <c r="K1157" s="1" t="str">
        <f>"C04D"</f>
        <v>C04D</v>
      </c>
      <c r="L1157" s="1" t="str">
        <f t="shared" ref="L1157:L1220" si="388">"R"</f>
        <v>R</v>
      </c>
      <c r="M1157" s="1" t="str">
        <f>"T03"</f>
        <v>T03</v>
      </c>
      <c r="N1157" s="1" t="str">
        <f t="shared" ref="N1157:N1220" si="389">"Y"</f>
        <v>Y</v>
      </c>
      <c r="O1157" s="1" t="str">
        <f t="shared" si="385"/>
        <v>Y</v>
      </c>
      <c r="P1157" s="1" t="str">
        <f t="shared" si="367"/>
        <v>Y</v>
      </c>
      <c r="Q1157" s="1" t="str">
        <f t="shared" si="383"/>
        <v>A</v>
      </c>
    </row>
    <row r="1158" spans="1:17" x14ac:dyDescent="0.3">
      <c r="A1158" s="1" t="str">
        <f t="shared" si="381"/>
        <v>D2</v>
      </c>
      <c r="B1158" s="1" t="str">
        <f>"IL01LIPLT6"</f>
        <v>IL01LIPLT6</v>
      </c>
      <c r="C1158" s="1" t="str">
        <f>"고지혈증"</f>
        <v>고지혈증</v>
      </c>
      <c r="D1158" s="1" t="str">
        <f>"내과진료 권고"</f>
        <v>내과진료 권고</v>
      </c>
      <c r="E1158" s="1" t="str">
        <f t="shared" si="380"/>
        <v>WOK02</v>
      </c>
      <c r="F1158" s="1" t="str">
        <f t="shared" si="387"/>
        <v>PTM04</v>
      </c>
      <c r="G1158" s="1" t="str">
        <f>"DISE"</f>
        <v>DISE</v>
      </c>
      <c r="H1158" s="1" t="str">
        <f>"REL04"</f>
        <v>REL04</v>
      </c>
      <c r="I1158" s="1" t="str">
        <f>""</f>
        <v/>
      </c>
      <c r="J1158" s="1" t="str">
        <f>"C04C"</f>
        <v>C04C</v>
      </c>
      <c r="K1158" s="1" t="str">
        <f>"C04C"</f>
        <v>C04C</v>
      </c>
      <c r="L1158" s="1" t="str">
        <f t="shared" si="388"/>
        <v>R</v>
      </c>
      <c r="M1158" s="1" t="str">
        <f>"T03"</f>
        <v>T03</v>
      </c>
      <c r="N1158" s="1" t="str">
        <f t="shared" si="389"/>
        <v>Y</v>
      </c>
      <c r="O1158" s="1" t="str">
        <f t="shared" si="385"/>
        <v>Y</v>
      </c>
      <c r="P1158" s="1" t="str">
        <f t="shared" si="367"/>
        <v>Y</v>
      </c>
      <c r="Q1158" s="1" t="str">
        <f t="shared" si="383"/>
        <v>A</v>
      </c>
    </row>
    <row r="1159" spans="1:17" x14ac:dyDescent="0.3">
      <c r="A1159" s="1" t="str">
        <f t="shared" si="381"/>
        <v>D2</v>
      </c>
      <c r="B1159" s="1" t="str">
        <f>"J0001"</f>
        <v>J0001</v>
      </c>
      <c r="C1159" s="1" t="str">
        <f>"호흡기계 질환"</f>
        <v>호흡기계 질환</v>
      </c>
      <c r="D1159" s="1" t="str">
        <f>"평소 진료받는 호흡기내과 통해 폐질환에 대한 꾸준한 관리와 치료를 받으시기 바랍니다."</f>
        <v>평소 진료받는 호흡기내과 통해 폐질환에 대한 꾸준한 관리와 치료를 받으시기 바랍니다.</v>
      </c>
      <c r="E1159" s="1" t="str">
        <f t="shared" ref="E1159:E1183" si="390">"WOK02"</f>
        <v>WOK02</v>
      </c>
      <c r="F1159" s="1" t="str">
        <f t="shared" si="387"/>
        <v>PTM04</v>
      </c>
      <c r="G1159" s="1" t="str">
        <f>"DISJ"</f>
        <v>DISJ</v>
      </c>
      <c r="H1159" s="1" t="str">
        <f>"REL02"</f>
        <v>REL02</v>
      </c>
      <c r="I1159" s="1" t="str">
        <f>""</f>
        <v/>
      </c>
      <c r="J1159" s="1" t="str">
        <f>"C40D"</f>
        <v>C40D</v>
      </c>
      <c r="K1159" s="1" t="str">
        <f>"C04D"</f>
        <v>C04D</v>
      </c>
      <c r="L1159" s="1" t="str">
        <f t="shared" si="388"/>
        <v>R</v>
      </c>
      <c r="M1159" s="1" t="str">
        <f>"T04"</f>
        <v>T04</v>
      </c>
      <c r="N1159" s="1" t="str">
        <f t="shared" si="389"/>
        <v>Y</v>
      </c>
      <c r="O1159" s="1" t="str">
        <f t="shared" si="385"/>
        <v>Y</v>
      </c>
      <c r="P1159" s="1" t="str">
        <f t="shared" si="367"/>
        <v>Y</v>
      </c>
      <c r="Q1159" s="1" t="str">
        <f t="shared" si="383"/>
        <v>A</v>
      </c>
    </row>
    <row r="1160" spans="1:17" x14ac:dyDescent="0.3">
      <c r="A1160" s="1" t="str">
        <f t="shared" si="381"/>
        <v>D2</v>
      </c>
      <c r="B1160" s="1" t="str">
        <f>"J0006"</f>
        <v>J0006</v>
      </c>
      <c r="C1160" s="1" t="str">
        <f>"급성 A형간염 의심"</f>
        <v>급성 A형간염 의심</v>
      </c>
      <c r="D1160" s="1" t="str">
        <f>"최대한 빨리 가까운 병원에 방문하시여 A형 간염에 대한 진료 및 치료를 받으시기 바랍니다."</f>
        <v>최대한 빨리 가까운 병원에 방문하시여 A형 간염에 대한 진료 및 치료를 받으시기 바랍니다.</v>
      </c>
      <c r="E1160" s="1" t="str">
        <f t="shared" si="390"/>
        <v>WOK02</v>
      </c>
      <c r="F1160" s="1" t="str">
        <f t="shared" si="387"/>
        <v>PTM04</v>
      </c>
      <c r="G1160" s="1" t="str">
        <f>"DISB"</f>
        <v>DISB</v>
      </c>
      <c r="H1160" s="1" t="str">
        <f>"REL05"</f>
        <v>REL05</v>
      </c>
      <c r="I1160" s="1" t="str">
        <f>""</f>
        <v/>
      </c>
      <c r="J1160" s="1" t="str">
        <f>"C32D"</f>
        <v>C32D</v>
      </c>
      <c r="K1160" s="1" t="str">
        <f>"C32D"</f>
        <v>C32D</v>
      </c>
      <c r="L1160" s="1" t="str">
        <f t="shared" si="388"/>
        <v>R</v>
      </c>
      <c r="M1160" s="1" t="str">
        <f>"T02"</f>
        <v>T02</v>
      </c>
      <c r="N1160" s="1" t="str">
        <f t="shared" si="389"/>
        <v>Y</v>
      </c>
      <c r="O1160" s="1" t="str">
        <f t="shared" si="385"/>
        <v>Y</v>
      </c>
      <c r="P1160" s="1" t="str">
        <f t="shared" si="367"/>
        <v>Y</v>
      </c>
      <c r="Q1160" s="1" t="str">
        <f t="shared" si="383"/>
        <v>A</v>
      </c>
    </row>
    <row r="1161" spans="1:17" x14ac:dyDescent="0.3">
      <c r="A1161" s="1" t="str">
        <f t="shared" si="381"/>
        <v>D2</v>
      </c>
      <c r="B1161" s="1" t="str">
        <f>"J0012"</f>
        <v>J0012</v>
      </c>
      <c r="C1161" s="1" t="str">
        <f>"(우측)전음성난청"</f>
        <v>(우측)전음성난청</v>
      </c>
      <c r="D1161" s="1" t="str">
        <f>"과거 중이염 등의 전음성 난청으로 인한 청력손실이 관찰됩니다. 이상 증상이 있을시 이비인후과 진료를 받으세요."</f>
        <v>과거 중이염 등의 전음성 난청으로 인한 청력손실이 관찰됩니다. 이상 증상이 있을시 이비인후과 진료를 받으세요.</v>
      </c>
      <c r="E1161" s="1" t="str">
        <f t="shared" si="390"/>
        <v>WOK02</v>
      </c>
      <c r="F1161" s="1" t="str">
        <f>"PTM01"</f>
        <v>PTM01</v>
      </c>
      <c r="G1161" s="1" t="str">
        <f>"DISH"</f>
        <v>DISH</v>
      </c>
      <c r="H1161" s="1" t="str">
        <f>"REL19"</f>
        <v>REL19</v>
      </c>
      <c r="I1161" s="1" t="str">
        <f>"01"</f>
        <v>01</v>
      </c>
      <c r="J1161" s="1" t="str">
        <f t="shared" ref="J1161:K1164" si="391">"C55D"</f>
        <v>C55D</v>
      </c>
      <c r="K1161" s="1" t="str">
        <f t="shared" si="391"/>
        <v>C55D</v>
      </c>
      <c r="L1161" s="1" t="str">
        <f t="shared" si="388"/>
        <v>R</v>
      </c>
      <c r="M1161" s="1" t="str">
        <f>"T10"</f>
        <v>T10</v>
      </c>
      <c r="N1161" s="1" t="str">
        <f t="shared" si="389"/>
        <v>Y</v>
      </c>
      <c r="O1161" s="1" t="str">
        <f t="shared" si="385"/>
        <v>Y</v>
      </c>
      <c r="P1161" s="1" t="str">
        <f t="shared" si="367"/>
        <v>Y</v>
      </c>
      <c r="Q1161" s="1" t="str">
        <f>"R"</f>
        <v>R</v>
      </c>
    </row>
    <row r="1162" spans="1:17" x14ac:dyDescent="0.3">
      <c r="A1162" s="1" t="str">
        <f t="shared" si="381"/>
        <v>D2</v>
      </c>
      <c r="B1162" s="1" t="str">
        <f>"J0012B"</f>
        <v>J0012B</v>
      </c>
      <c r="C1162" s="1" t="str">
        <f>"(우측)전음성난청"</f>
        <v>(우측)전음성난청</v>
      </c>
      <c r="D1162" s="1" t="str">
        <f>"과거 중이염 등으로 인한 난청(청력손실)이 관찰됩니다. 증상 발생시 이비인후과 진료를 받으시길 바랍니다."</f>
        <v>과거 중이염 등으로 인한 난청(청력손실)이 관찰됩니다. 증상 발생시 이비인후과 진료를 받으시길 바랍니다.</v>
      </c>
      <c r="E1162" s="1" t="str">
        <f t="shared" si="390"/>
        <v>WOK02</v>
      </c>
      <c r="F1162" s="1" t="str">
        <f>"PTM01"</f>
        <v>PTM01</v>
      </c>
      <c r="G1162" s="1" t="str">
        <f>"DISH"</f>
        <v>DISH</v>
      </c>
      <c r="H1162" s="1" t="str">
        <f>"REL19"</f>
        <v>REL19</v>
      </c>
      <c r="I1162" s="1" t="str">
        <f>"01"</f>
        <v>01</v>
      </c>
      <c r="J1162" s="1" t="str">
        <f t="shared" si="391"/>
        <v>C55D</v>
      </c>
      <c r="K1162" s="1" t="str">
        <f t="shared" si="391"/>
        <v>C55D</v>
      </c>
      <c r="L1162" s="1" t="str">
        <f t="shared" si="388"/>
        <v>R</v>
      </c>
      <c r="M1162" s="1" t="str">
        <f>"T10"</f>
        <v>T10</v>
      </c>
      <c r="N1162" s="1" t="str">
        <f t="shared" si="389"/>
        <v>Y</v>
      </c>
      <c r="O1162" s="1" t="str">
        <f>"N"</f>
        <v>N</v>
      </c>
      <c r="P1162" s="1" t="str">
        <f t="shared" ref="P1162:P1225" si="392">"Y"</f>
        <v>Y</v>
      </c>
      <c r="Q1162" s="1" t="str">
        <f>"R"</f>
        <v>R</v>
      </c>
    </row>
    <row r="1163" spans="1:17" x14ac:dyDescent="0.3">
      <c r="A1163" s="1" t="str">
        <f t="shared" si="381"/>
        <v>D2</v>
      </c>
      <c r="B1163" s="1" t="str">
        <f>"J0013"</f>
        <v>J0013</v>
      </c>
      <c r="C1163" s="1" t="str">
        <f>"(우측)혼합성난청"</f>
        <v>(우측)혼합성난청</v>
      </c>
      <c r="D1163" s="1" t="s">
        <v>364</v>
      </c>
      <c r="E1163" s="1" t="str">
        <f t="shared" si="390"/>
        <v>WOK02</v>
      </c>
      <c r="F1163" s="1" t="str">
        <f>"PTM02"</f>
        <v>PTM02</v>
      </c>
      <c r="G1163" s="1" t="str">
        <f>"DISH"</f>
        <v>DISH</v>
      </c>
      <c r="H1163" s="1" t="str">
        <f>"REL19"</f>
        <v>REL19</v>
      </c>
      <c r="I1163" s="1" t="str">
        <f>"01"</f>
        <v>01</v>
      </c>
      <c r="J1163" s="1" t="str">
        <f t="shared" si="391"/>
        <v>C55D</v>
      </c>
      <c r="K1163" s="1" t="str">
        <f t="shared" si="391"/>
        <v>C55D</v>
      </c>
      <c r="L1163" s="1" t="str">
        <f t="shared" si="388"/>
        <v>R</v>
      </c>
      <c r="M1163" s="1" t="str">
        <f>"T10"</f>
        <v>T10</v>
      </c>
      <c r="N1163" s="1" t="str">
        <f t="shared" si="389"/>
        <v>Y</v>
      </c>
      <c r="O1163" s="1" t="str">
        <f t="shared" ref="O1163:O1208" si="393">"Y"</f>
        <v>Y</v>
      </c>
      <c r="P1163" s="1" t="str">
        <f t="shared" si="392"/>
        <v>Y</v>
      </c>
      <c r="Q1163" s="1" t="str">
        <f>"R"</f>
        <v>R</v>
      </c>
    </row>
    <row r="1164" spans="1:17" x14ac:dyDescent="0.3">
      <c r="A1164" s="1" t="str">
        <f t="shared" ref="A1164:A1195" si="394">"D2"</f>
        <v>D2</v>
      </c>
      <c r="B1164" s="1" t="str">
        <f>"J0014"</f>
        <v>J0014</v>
      </c>
      <c r="C1164" s="1" t="str">
        <f>"(우측)돌발성난청"</f>
        <v>(우측)돌발성난청</v>
      </c>
      <c r="D1164" s="1" t="str">
        <f>"이비인후과 진료 받으시고 정기적 청력검사 받으세요."</f>
        <v>이비인후과 진료 받으시고 정기적 청력검사 받으세요.</v>
      </c>
      <c r="E1164" s="1" t="str">
        <f t="shared" si="390"/>
        <v>WOK02</v>
      </c>
      <c r="F1164" s="1" t="str">
        <f t="shared" ref="F1164:F1172" si="395">"PTM04"</f>
        <v>PTM04</v>
      </c>
      <c r="G1164" s="1" t="str">
        <f>"DISH"</f>
        <v>DISH</v>
      </c>
      <c r="H1164" s="1" t="str">
        <f>"REL19"</f>
        <v>REL19</v>
      </c>
      <c r="I1164" s="1" t="str">
        <f>"01"</f>
        <v>01</v>
      </c>
      <c r="J1164" s="1" t="str">
        <f t="shared" si="391"/>
        <v>C55D</v>
      </c>
      <c r="K1164" s="1" t="str">
        <f t="shared" si="391"/>
        <v>C55D</v>
      </c>
      <c r="L1164" s="1" t="str">
        <f t="shared" si="388"/>
        <v>R</v>
      </c>
      <c r="M1164" s="1" t="str">
        <f>"T10"</f>
        <v>T10</v>
      </c>
      <c r="N1164" s="1" t="str">
        <f t="shared" si="389"/>
        <v>Y</v>
      </c>
      <c r="O1164" s="1" t="str">
        <f t="shared" si="393"/>
        <v>Y</v>
      </c>
      <c r="P1164" s="1" t="str">
        <f t="shared" si="392"/>
        <v>Y</v>
      </c>
      <c r="Q1164" s="1" t="str">
        <f>"R"</f>
        <v>R</v>
      </c>
    </row>
    <row r="1165" spans="1:17" x14ac:dyDescent="0.3">
      <c r="A1165" s="1" t="str">
        <f t="shared" si="394"/>
        <v>D2</v>
      </c>
      <c r="B1165" s="1" t="str">
        <f>"J0051"</f>
        <v>J0051</v>
      </c>
      <c r="C1165" s="1" t="str">
        <f>"(요침사)적혈구증가"</f>
        <v>(요침사)적혈구증가</v>
      </c>
      <c r="D1165" s="1" t="s">
        <v>365</v>
      </c>
      <c r="E1165" s="1" t="str">
        <f t="shared" si="390"/>
        <v>WOK02</v>
      </c>
      <c r="F1165" s="1" t="str">
        <f t="shared" si="395"/>
        <v>PTM04</v>
      </c>
      <c r="G1165" s="1" t="str">
        <f>"DISN"</f>
        <v>DISN</v>
      </c>
      <c r="H1165" s="1" t="str">
        <f>"REL09"</f>
        <v>REL09</v>
      </c>
      <c r="I1165" s="1" t="str">
        <f>""</f>
        <v/>
      </c>
      <c r="J1165" s="1" t="str">
        <f>"C44C"</f>
        <v>C44C</v>
      </c>
      <c r="K1165" s="1" t="str">
        <f>"C44C"</f>
        <v>C44C</v>
      </c>
      <c r="L1165" s="1" t="str">
        <f t="shared" si="388"/>
        <v>R</v>
      </c>
      <c r="M1165" s="1" t="str">
        <f>"T05"</f>
        <v>T05</v>
      </c>
      <c r="N1165" s="1" t="str">
        <f t="shared" si="389"/>
        <v>Y</v>
      </c>
      <c r="O1165" s="1" t="str">
        <f t="shared" si="393"/>
        <v>Y</v>
      </c>
      <c r="P1165" s="1" t="str">
        <f t="shared" si="392"/>
        <v>Y</v>
      </c>
      <c r="Q1165" s="1" t="str">
        <f t="shared" ref="Q1165:Q1178" si="396">"A"</f>
        <v>A</v>
      </c>
    </row>
    <row r="1166" spans="1:17" x14ac:dyDescent="0.3">
      <c r="A1166" s="1" t="str">
        <f t="shared" si="394"/>
        <v>D2</v>
      </c>
      <c r="B1166" s="1" t="str">
        <f>"J0053"</f>
        <v>J0053</v>
      </c>
      <c r="C1166" s="1" t="str">
        <f>"비뇨기계 감염 질환 소견"</f>
        <v>비뇨기계 감염 질환 소견</v>
      </c>
      <c r="D1166" s="1" t="str">
        <f>"소변검사에서 비뇨기계 감염이 의심되는 소견이 나타났습니다. 소변 증상 있을 경우 비뇨기과 내원하여 진단 및 치료 바랍니다."</f>
        <v>소변검사에서 비뇨기계 감염이 의심되는 소견이 나타났습니다. 소변 증상 있을 경우 비뇨기과 내원하여 진단 및 치료 바랍니다.</v>
      </c>
      <c r="E1166" s="1" t="str">
        <f t="shared" si="390"/>
        <v>WOK02</v>
      </c>
      <c r="F1166" s="1" t="str">
        <f t="shared" si="395"/>
        <v>PTM04</v>
      </c>
      <c r="G1166" s="1" t="str">
        <f>"DISN"</f>
        <v>DISN</v>
      </c>
      <c r="H1166" s="1" t="str">
        <f>"REL09"</f>
        <v>REL09</v>
      </c>
      <c r="I1166" s="1" t="str">
        <f>""</f>
        <v/>
      </c>
      <c r="J1166" s="1" t="str">
        <f>"C44D"</f>
        <v>C44D</v>
      </c>
      <c r="K1166" s="1" t="str">
        <f>"C44D"</f>
        <v>C44D</v>
      </c>
      <c r="L1166" s="1" t="str">
        <f t="shared" si="388"/>
        <v>R</v>
      </c>
      <c r="M1166" s="1" t="str">
        <f>"T05"</f>
        <v>T05</v>
      </c>
      <c r="N1166" s="1" t="str">
        <f t="shared" si="389"/>
        <v>Y</v>
      </c>
      <c r="O1166" s="1" t="str">
        <f t="shared" si="393"/>
        <v>Y</v>
      </c>
      <c r="P1166" s="1" t="str">
        <f t="shared" si="392"/>
        <v>Y</v>
      </c>
      <c r="Q1166" s="1" t="str">
        <f t="shared" si="396"/>
        <v>A</v>
      </c>
    </row>
    <row r="1167" spans="1:17" x14ac:dyDescent="0.3">
      <c r="A1167" s="1" t="str">
        <f t="shared" si="394"/>
        <v>D2</v>
      </c>
      <c r="B1167" s="1" t="str">
        <f>"J0058"</f>
        <v>J0058</v>
      </c>
      <c r="C1167" s="1" t="str">
        <f>"양성(C형간염보균자)"</f>
        <v>양성(C형간염보균자)</v>
      </c>
      <c r="D1167" s="1" t="str">
        <f>"C형간염이 보균자 입니다. 정확한 진단 및 추적검사를 위해 내과진료를 요합니다."</f>
        <v>C형간염이 보균자 입니다. 정확한 진단 및 추적검사를 위해 내과진료를 요합니다.</v>
      </c>
      <c r="E1167" s="1" t="str">
        <f t="shared" si="390"/>
        <v>WOK02</v>
      </c>
      <c r="F1167" s="1" t="str">
        <f t="shared" si="395"/>
        <v>PTM04</v>
      </c>
      <c r="G1167" s="1" t="str">
        <f>"DISB"</f>
        <v>DISB</v>
      </c>
      <c r="H1167" s="1" t="str">
        <f>"REL05"</f>
        <v>REL05</v>
      </c>
      <c r="I1167" s="1" t="str">
        <f>""</f>
        <v/>
      </c>
      <c r="J1167" s="1" t="str">
        <f t="shared" ref="J1167:K1169" si="397">"C05D"</f>
        <v>C05D</v>
      </c>
      <c r="K1167" s="1" t="str">
        <f t="shared" si="397"/>
        <v>C05D</v>
      </c>
      <c r="L1167" s="1" t="str">
        <f t="shared" si="388"/>
        <v>R</v>
      </c>
      <c r="M1167" s="1" t="str">
        <f>"T02"</f>
        <v>T02</v>
      </c>
      <c r="N1167" s="1" t="str">
        <f t="shared" si="389"/>
        <v>Y</v>
      </c>
      <c r="O1167" s="1" t="str">
        <f t="shared" si="393"/>
        <v>Y</v>
      </c>
      <c r="P1167" s="1" t="str">
        <f t="shared" si="392"/>
        <v>Y</v>
      </c>
      <c r="Q1167" s="1" t="str">
        <f t="shared" si="396"/>
        <v>A</v>
      </c>
    </row>
    <row r="1168" spans="1:17" x14ac:dyDescent="0.3">
      <c r="A1168" s="1" t="str">
        <f t="shared" si="394"/>
        <v>D2</v>
      </c>
      <c r="B1168" s="1" t="str">
        <f>"J0058H"</f>
        <v>J0058H</v>
      </c>
      <c r="C1168" s="1" t="str">
        <f>"C형간염 항체 양성 의심"</f>
        <v>C형간염 항체 양성 의심</v>
      </c>
      <c r="D1168" s="1" t="str">
        <f>"C형 간염 항체가 양성입니다. C형 간염에 대한 확진검사가 필요할 수 있습니다. 추가검사 및 치료필요성 결정을 위해 소화기내과 진료를 받아보시기 바랍니다."</f>
        <v>C형 간염 항체가 양성입니다. C형 간염에 대한 확진검사가 필요할 수 있습니다. 추가검사 및 치료필요성 결정을 위해 소화기내과 진료를 받아보시기 바랍니다.</v>
      </c>
      <c r="E1168" s="1" t="str">
        <f t="shared" si="390"/>
        <v>WOK02</v>
      </c>
      <c r="F1168" s="1" t="str">
        <f t="shared" si="395"/>
        <v>PTM04</v>
      </c>
      <c r="G1168" s="1" t="str">
        <f>"DISB"</f>
        <v>DISB</v>
      </c>
      <c r="H1168" s="1" t="str">
        <f>"REL05"</f>
        <v>REL05</v>
      </c>
      <c r="I1168" s="1" t="str">
        <f>""</f>
        <v/>
      </c>
      <c r="J1168" s="1" t="str">
        <f t="shared" si="397"/>
        <v>C05D</v>
      </c>
      <c r="K1168" s="1" t="str">
        <f t="shared" si="397"/>
        <v>C05D</v>
      </c>
      <c r="L1168" s="1" t="str">
        <f t="shared" si="388"/>
        <v>R</v>
      </c>
      <c r="M1168" s="1" t="str">
        <f>"T02"</f>
        <v>T02</v>
      </c>
      <c r="N1168" s="1" t="str">
        <f t="shared" si="389"/>
        <v>Y</v>
      </c>
      <c r="O1168" s="1" t="str">
        <f t="shared" si="393"/>
        <v>Y</v>
      </c>
      <c r="P1168" s="1" t="str">
        <f t="shared" si="392"/>
        <v>Y</v>
      </c>
      <c r="Q1168" s="1" t="str">
        <f t="shared" si="396"/>
        <v>A</v>
      </c>
    </row>
    <row r="1169" spans="1:17" x14ac:dyDescent="0.3">
      <c r="A1169" s="1" t="str">
        <f t="shared" si="394"/>
        <v>D2</v>
      </c>
      <c r="B1169" s="1" t="str">
        <f>"J0065"</f>
        <v>J0065</v>
      </c>
      <c r="C1169" s="1" t="str">
        <f>"간 질환"</f>
        <v>간 질환</v>
      </c>
      <c r="D1169" s="1" t="str">
        <f>"음주와 관련된 간기능 이상일 가능성이 많습니다. 절주하시고 간기능 재검사(3개월후)로 추적관찰하세요"</f>
        <v>음주와 관련된 간기능 이상일 가능성이 많습니다. 절주하시고 간기능 재검사(3개월후)로 추적관찰하세요</v>
      </c>
      <c r="E1169" s="1" t="str">
        <f t="shared" si="390"/>
        <v>WOK02</v>
      </c>
      <c r="F1169" s="1" t="str">
        <f t="shared" si="395"/>
        <v>PTM04</v>
      </c>
      <c r="G1169" s="1" t="str">
        <f>"DISK"</f>
        <v>DISK</v>
      </c>
      <c r="H1169" s="1" t="str">
        <f>"REL05"</f>
        <v>REL05</v>
      </c>
      <c r="I1169" s="1" t="str">
        <f>""</f>
        <v/>
      </c>
      <c r="J1169" s="1" t="str">
        <f t="shared" si="397"/>
        <v>C05D</v>
      </c>
      <c r="K1169" s="1" t="str">
        <f t="shared" si="397"/>
        <v>C05D</v>
      </c>
      <c r="L1169" s="1" t="str">
        <f t="shared" si="388"/>
        <v>R</v>
      </c>
      <c r="M1169" s="1" t="str">
        <f>"T02"</f>
        <v>T02</v>
      </c>
      <c r="N1169" s="1" t="str">
        <f t="shared" si="389"/>
        <v>Y</v>
      </c>
      <c r="O1169" s="1" t="str">
        <f t="shared" si="393"/>
        <v>Y</v>
      </c>
      <c r="P1169" s="1" t="str">
        <f t="shared" si="392"/>
        <v>Y</v>
      </c>
      <c r="Q1169" s="1" t="str">
        <f t="shared" si="396"/>
        <v>A</v>
      </c>
    </row>
    <row r="1170" spans="1:17" x14ac:dyDescent="0.3">
      <c r="A1170" s="1" t="str">
        <f t="shared" si="394"/>
        <v>D2</v>
      </c>
      <c r="B1170" s="1" t="str">
        <f>"J0103"</f>
        <v>J0103</v>
      </c>
      <c r="C1170" s="1" t="str">
        <f>"중등도의 폐쇄성 폐환기능 장애"</f>
        <v>중등도의 폐쇄성 폐환기능 장애</v>
      </c>
      <c r="D1170" s="1" t="s">
        <v>173</v>
      </c>
      <c r="E1170" s="1" t="str">
        <f t="shared" si="390"/>
        <v>WOK02</v>
      </c>
      <c r="F1170" s="1" t="str">
        <f t="shared" si="395"/>
        <v>PTM04</v>
      </c>
      <c r="G1170" s="1" t="str">
        <f>"DISJ"</f>
        <v>DISJ</v>
      </c>
      <c r="H1170" s="1" t="str">
        <f>"REL15"</f>
        <v>REL15</v>
      </c>
      <c r="I1170" s="1" t="str">
        <f>""</f>
        <v/>
      </c>
      <c r="J1170" s="1" t="str">
        <f t="shared" ref="J1170:K1172" si="398">"C40C"</f>
        <v>C40C</v>
      </c>
      <c r="K1170" s="1" t="str">
        <f t="shared" si="398"/>
        <v>C40C</v>
      </c>
      <c r="L1170" s="1" t="str">
        <f t="shared" si="388"/>
        <v>R</v>
      </c>
      <c r="M1170" s="1" t="str">
        <f>"T04"</f>
        <v>T04</v>
      </c>
      <c r="N1170" s="1" t="str">
        <f t="shared" si="389"/>
        <v>Y</v>
      </c>
      <c r="O1170" s="1" t="str">
        <f t="shared" si="393"/>
        <v>Y</v>
      </c>
      <c r="P1170" s="1" t="str">
        <f t="shared" si="392"/>
        <v>Y</v>
      </c>
      <c r="Q1170" s="1" t="str">
        <f t="shared" si="396"/>
        <v>A</v>
      </c>
    </row>
    <row r="1171" spans="1:17" x14ac:dyDescent="0.3">
      <c r="A1171" s="1" t="str">
        <f t="shared" si="394"/>
        <v>D2</v>
      </c>
      <c r="B1171" s="1" t="str">
        <f>"J01031"</f>
        <v>J01031</v>
      </c>
      <c r="C1171" s="1" t="str">
        <f>"중등도의 제한성 폐환기능 장애"</f>
        <v>중등도의 제한성 폐환기능 장애</v>
      </c>
      <c r="D1171" s="1" t="s">
        <v>173</v>
      </c>
      <c r="E1171" s="1" t="str">
        <f t="shared" si="390"/>
        <v>WOK02</v>
      </c>
      <c r="F1171" s="1" t="str">
        <f t="shared" si="395"/>
        <v>PTM04</v>
      </c>
      <c r="G1171" s="1" t="str">
        <f>"DISJ"</f>
        <v>DISJ</v>
      </c>
      <c r="H1171" s="1" t="str">
        <f>"REL15"</f>
        <v>REL15</v>
      </c>
      <c r="I1171" s="1" t="str">
        <f>""</f>
        <v/>
      </c>
      <c r="J1171" s="1" t="str">
        <f t="shared" si="398"/>
        <v>C40C</v>
      </c>
      <c r="K1171" s="1" t="str">
        <f t="shared" si="398"/>
        <v>C40C</v>
      </c>
      <c r="L1171" s="1" t="str">
        <f t="shared" si="388"/>
        <v>R</v>
      </c>
      <c r="M1171" s="1" t="str">
        <f>"T04"</f>
        <v>T04</v>
      </c>
      <c r="N1171" s="1" t="str">
        <f t="shared" si="389"/>
        <v>Y</v>
      </c>
      <c r="O1171" s="1" t="str">
        <f t="shared" si="393"/>
        <v>Y</v>
      </c>
      <c r="P1171" s="1" t="str">
        <f t="shared" si="392"/>
        <v>Y</v>
      </c>
      <c r="Q1171" s="1" t="str">
        <f t="shared" si="396"/>
        <v>A</v>
      </c>
    </row>
    <row r="1172" spans="1:17" x14ac:dyDescent="0.3">
      <c r="A1172" s="1" t="str">
        <f t="shared" si="394"/>
        <v>D2</v>
      </c>
      <c r="B1172" s="1" t="str">
        <f>"J01032"</f>
        <v>J01032</v>
      </c>
      <c r="C1172" s="1" t="str">
        <f>"중등도의 혼합성 폐환기능 장애"</f>
        <v>중등도의 혼합성 폐환기능 장애</v>
      </c>
      <c r="D1172" s="1" t="s">
        <v>173</v>
      </c>
      <c r="E1172" s="1" t="str">
        <f t="shared" si="390"/>
        <v>WOK02</v>
      </c>
      <c r="F1172" s="1" t="str">
        <f t="shared" si="395"/>
        <v>PTM04</v>
      </c>
      <c r="G1172" s="1" t="str">
        <f>"DISJ"</f>
        <v>DISJ</v>
      </c>
      <c r="H1172" s="1" t="str">
        <f>"REL15"</f>
        <v>REL15</v>
      </c>
      <c r="I1172" s="1" t="str">
        <f>""</f>
        <v/>
      </c>
      <c r="J1172" s="1" t="str">
        <f t="shared" si="398"/>
        <v>C40C</v>
      </c>
      <c r="K1172" s="1" t="str">
        <f t="shared" si="398"/>
        <v>C40C</v>
      </c>
      <c r="L1172" s="1" t="str">
        <f t="shared" si="388"/>
        <v>R</v>
      </c>
      <c r="M1172" s="1" t="str">
        <f>"T04"</f>
        <v>T04</v>
      </c>
      <c r="N1172" s="1" t="str">
        <f t="shared" si="389"/>
        <v>Y</v>
      </c>
      <c r="O1172" s="1" t="str">
        <f t="shared" si="393"/>
        <v>Y</v>
      </c>
      <c r="P1172" s="1" t="str">
        <f t="shared" si="392"/>
        <v>Y</v>
      </c>
      <c r="Q1172" s="1" t="str">
        <f t="shared" si="396"/>
        <v>A</v>
      </c>
    </row>
    <row r="1173" spans="1:17" x14ac:dyDescent="0.3">
      <c r="A1173" s="1" t="str">
        <f t="shared" si="394"/>
        <v>D2</v>
      </c>
      <c r="B1173" s="1" t="str">
        <f>"J0104"</f>
        <v>J0104</v>
      </c>
      <c r="C1173" s="1" t="str">
        <f>"폐쇄성 폐질환 의심"</f>
        <v>폐쇄성 폐질환 의심</v>
      </c>
      <c r="D1173" s="1" t="str">
        <f>"폐기능검사결과 만성폐쇄성폐질환 또는 천식 등 호흡기 질환이 의심됩니다. 근무중 유해인자 노출이나 다른 원인에 의한 것으로 적합한 마스크를 반드시 착용해야 합니다. 내과 내원하여 진단 및 치료 바랍니다."</f>
        <v>폐기능검사결과 만성폐쇄성폐질환 또는 천식 등 호흡기 질환이 의심됩니다. 근무중 유해인자 노출이나 다른 원인에 의한 것으로 적합한 마스크를 반드시 착용해야 합니다. 내과 내원하여 진단 및 치료 바랍니다.</v>
      </c>
      <c r="E1173" s="1" t="str">
        <f t="shared" si="390"/>
        <v>WOK02</v>
      </c>
      <c r="F1173" s="1" t="str">
        <f>"PTM01"</f>
        <v>PTM01</v>
      </c>
      <c r="G1173" s="1" t="str">
        <f>"DISJ"</f>
        <v>DISJ</v>
      </c>
      <c r="H1173" s="1" t="str">
        <f>"REL02"</f>
        <v>REL02</v>
      </c>
      <c r="I1173" s="1" t="str">
        <f>""</f>
        <v/>
      </c>
      <c r="J1173" s="1" t="str">
        <f>"C40D"</f>
        <v>C40D</v>
      </c>
      <c r="K1173" s="1" t="str">
        <f>"C40D"</f>
        <v>C40D</v>
      </c>
      <c r="L1173" s="1" t="str">
        <f t="shared" si="388"/>
        <v>R</v>
      </c>
      <c r="M1173" s="1" t="str">
        <f>"T04"</f>
        <v>T04</v>
      </c>
      <c r="N1173" s="1" t="str">
        <f t="shared" si="389"/>
        <v>Y</v>
      </c>
      <c r="O1173" s="1" t="str">
        <f t="shared" si="393"/>
        <v>Y</v>
      </c>
      <c r="P1173" s="1" t="str">
        <f t="shared" si="392"/>
        <v>Y</v>
      </c>
      <c r="Q1173" s="1" t="str">
        <f t="shared" si="396"/>
        <v>A</v>
      </c>
    </row>
    <row r="1174" spans="1:17" x14ac:dyDescent="0.3">
      <c r="A1174" s="1" t="str">
        <f t="shared" si="394"/>
        <v>D2</v>
      </c>
      <c r="B1174" s="1" t="str">
        <f>"J0120"</f>
        <v>J0120</v>
      </c>
      <c r="C1174" s="1" t="str">
        <f>"백혈구 감소"</f>
        <v>백혈구 감소</v>
      </c>
      <c r="D1174" s="1" t="str">
        <f>"백혈구 수가 감소하였습니다. 발열 등의 증상 있는 경우 혈액내과 진료 바랍니다."</f>
        <v>백혈구 수가 감소하였습니다. 발열 등의 증상 있는 경우 혈액내과 진료 바랍니다.</v>
      </c>
      <c r="E1174" s="1" t="str">
        <f t="shared" si="390"/>
        <v>WOK02</v>
      </c>
      <c r="F1174" s="1" t="str">
        <f>"PTM04"</f>
        <v>PTM04</v>
      </c>
      <c r="G1174" s="1" t="str">
        <f>"DISD"</f>
        <v>DISD</v>
      </c>
      <c r="H1174" s="1" t="str">
        <f>"REL12"</f>
        <v>REL12</v>
      </c>
      <c r="I1174" s="1" t="str">
        <f>""</f>
        <v/>
      </c>
      <c r="J1174" s="1" t="str">
        <f>"C34D"</f>
        <v>C34D</v>
      </c>
      <c r="K1174" s="1" t="str">
        <f>"C34D"</f>
        <v>C34D</v>
      </c>
      <c r="L1174" s="1" t="str">
        <f t="shared" si="388"/>
        <v>R</v>
      </c>
      <c r="M1174" s="1" t="str">
        <f>"T01"</f>
        <v>T01</v>
      </c>
      <c r="N1174" s="1" t="str">
        <f t="shared" si="389"/>
        <v>Y</v>
      </c>
      <c r="O1174" s="1" t="str">
        <f t="shared" si="393"/>
        <v>Y</v>
      </c>
      <c r="P1174" s="1" t="str">
        <f t="shared" si="392"/>
        <v>Y</v>
      </c>
      <c r="Q1174" s="1" t="str">
        <f t="shared" si="396"/>
        <v>A</v>
      </c>
    </row>
    <row r="1175" spans="1:17" x14ac:dyDescent="0.3">
      <c r="A1175" s="1" t="str">
        <f t="shared" si="394"/>
        <v>D2</v>
      </c>
      <c r="B1175" s="1" t="str">
        <f>"J0121A"</f>
        <v>J0121A</v>
      </c>
      <c r="C1175" s="1" t="str">
        <f>"혈소판 감소"</f>
        <v>혈소판 감소</v>
      </c>
      <c r="D1175" s="1" t="s">
        <v>292</v>
      </c>
      <c r="E1175" s="1" t="str">
        <f t="shared" si="390"/>
        <v>WOK02</v>
      </c>
      <c r="F1175" s="1" t="str">
        <f>"PTM04"</f>
        <v>PTM04</v>
      </c>
      <c r="G1175" s="1" t="str">
        <f>"DISD"</f>
        <v>DISD</v>
      </c>
      <c r="H1175" s="1" t="str">
        <f>"REL12"</f>
        <v>REL12</v>
      </c>
      <c r="I1175" s="1" t="str">
        <f>""</f>
        <v/>
      </c>
      <c r="J1175" s="1" t="str">
        <f>"C34C"</f>
        <v>C34C</v>
      </c>
      <c r="K1175" s="1" t="str">
        <f>"C34C"</f>
        <v>C34C</v>
      </c>
      <c r="L1175" s="1" t="str">
        <f t="shared" si="388"/>
        <v>R</v>
      </c>
      <c r="M1175" s="1" t="str">
        <f>"T01"</f>
        <v>T01</v>
      </c>
      <c r="N1175" s="1" t="str">
        <f t="shared" si="389"/>
        <v>Y</v>
      </c>
      <c r="O1175" s="1" t="str">
        <f t="shared" si="393"/>
        <v>Y</v>
      </c>
      <c r="P1175" s="1" t="str">
        <f t="shared" si="392"/>
        <v>Y</v>
      </c>
      <c r="Q1175" s="1" t="str">
        <f t="shared" si="396"/>
        <v>A</v>
      </c>
    </row>
    <row r="1176" spans="1:17" x14ac:dyDescent="0.3">
      <c r="A1176" s="1" t="str">
        <f t="shared" si="394"/>
        <v>D2</v>
      </c>
      <c r="B1176" s="1" t="str">
        <f>"J0123"</f>
        <v>J0123</v>
      </c>
      <c r="C1176" s="1" t="str">
        <f>"백혈구증가증"</f>
        <v>백혈구증가증</v>
      </c>
      <c r="D1176" s="1" t="str">
        <f>"백혈구증가증에 대한 원인 추적검사를 위해 혈액내과 진료 받으세요."</f>
        <v>백혈구증가증에 대한 원인 추적검사를 위해 혈액내과 진료 받으세요.</v>
      </c>
      <c r="E1176" s="1" t="str">
        <f t="shared" si="390"/>
        <v>WOK02</v>
      </c>
      <c r="F1176" s="1" t="str">
        <f>"PTM04"</f>
        <v>PTM04</v>
      </c>
      <c r="G1176" s="1" t="str">
        <f>"DISD"</f>
        <v>DISD</v>
      </c>
      <c r="H1176" s="1" t="str">
        <f>"REL12"</f>
        <v>REL12</v>
      </c>
      <c r="I1176" s="1" t="str">
        <f>""</f>
        <v/>
      </c>
      <c r="J1176" s="1" t="str">
        <f>"C34D"</f>
        <v>C34D</v>
      </c>
      <c r="K1176" s="1" t="str">
        <f>"C34D"</f>
        <v>C34D</v>
      </c>
      <c r="L1176" s="1" t="str">
        <f t="shared" si="388"/>
        <v>R</v>
      </c>
      <c r="M1176" s="1" t="str">
        <f>"T01"</f>
        <v>T01</v>
      </c>
      <c r="N1176" s="1" t="str">
        <f t="shared" si="389"/>
        <v>Y</v>
      </c>
      <c r="O1176" s="1" t="str">
        <f t="shared" si="393"/>
        <v>Y</v>
      </c>
      <c r="P1176" s="1" t="str">
        <f t="shared" si="392"/>
        <v>Y</v>
      </c>
      <c r="Q1176" s="1" t="str">
        <f t="shared" si="396"/>
        <v>A</v>
      </c>
    </row>
    <row r="1177" spans="1:17" x14ac:dyDescent="0.3">
      <c r="A1177" s="1" t="str">
        <f t="shared" si="394"/>
        <v>D2</v>
      </c>
      <c r="B1177" s="1" t="str">
        <f>"J0124"</f>
        <v>J0124</v>
      </c>
      <c r="C1177" s="1" t="str">
        <f>"혈소판 증가증"</f>
        <v>혈소판 증가증</v>
      </c>
      <c r="D1177" s="1" t="str">
        <f>"혈소판의 수치가 정상범위보다 높습니다. 정확한 진단을 위해 혈액내과 진료를 받으세요."</f>
        <v>혈소판의 수치가 정상범위보다 높습니다. 정확한 진단을 위해 혈액내과 진료를 받으세요.</v>
      </c>
      <c r="E1177" s="1" t="str">
        <f t="shared" si="390"/>
        <v>WOK02</v>
      </c>
      <c r="F1177" s="1" t="str">
        <f>"PTM04"</f>
        <v>PTM04</v>
      </c>
      <c r="G1177" s="1" t="str">
        <f>"DISD"</f>
        <v>DISD</v>
      </c>
      <c r="H1177" s="1" t="str">
        <f>"REL12"</f>
        <v>REL12</v>
      </c>
      <c r="I1177" s="1" t="str">
        <f>""</f>
        <v/>
      </c>
      <c r="J1177" s="1" t="str">
        <f>"C34C"</f>
        <v>C34C</v>
      </c>
      <c r="K1177" s="1" t="str">
        <f>"C34C"</f>
        <v>C34C</v>
      </c>
      <c r="L1177" s="1" t="str">
        <f t="shared" si="388"/>
        <v>R</v>
      </c>
      <c r="M1177" s="1" t="str">
        <f>"T01"</f>
        <v>T01</v>
      </c>
      <c r="N1177" s="1" t="str">
        <f t="shared" si="389"/>
        <v>Y</v>
      </c>
      <c r="O1177" s="1" t="str">
        <f t="shared" si="393"/>
        <v>Y</v>
      </c>
      <c r="P1177" s="1" t="str">
        <f t="shared" si="392"/>
        <v>Y</v>
      </c>
      <c r="Q1177" s="1" t="str">
        <f t="shared" si="396"/>
        <v>A</v>
      </c>
    </row>
    <row r="1178" spans="1:17" x14ac:dyDescent="0.3">
      <c r="A1178" s="1" t="str">
        <f t="shared" si="394"/>
        <v>D2</v>
      </c>
      <c r="B1178" s="1" t="str">
        <f>"J0132"</f>
        <v>J0132</v>
      </c>
      <c r="C1178" s="1" t="str">
        <f>"폐결핵 활동성"</f>
        <v>폐결핵 활동성</v>
      </c>
      <c r="D1178" s="1" t="str">
        <f>"폐결핵으로 판단됩니다. 정확한 진단 및 치료를 위해 내원하세요."</f>
        <v>폐결핵으로 판단됩니다. 정확한 진단 및 치료를 위해 내원하세요.</v>
      </c>
      <c r="E1178" s="1" t="str">
        <f t="shared" si="390"/>
        <v>WOK02</v>
      </c>
      <c r="F1178" s="1" t="str">
        <f>"PTM04"</f>
        <v>PTM04</v>
      </c>
      <c r="G1178" s="1" t="str">
        <f>"DISJ"</f>
        <v>DISJ</v>
      </c>
      <c r="H1178" s="1" t="str">
        <f>"REL01"</f>
        <v>REL01</v>
      </c>
      <c r="I1178" s="1" t="str">
        <f>""</f>
        <v/>
      </c>
      <c r="J1178" s="1" t="str">
        <f>"C01D"</f>
        <v>C01D</v>
      </c>
      <c r="K1178" s="1" t="str">
        <f>"C01D"</f>
        <v>C01D</v>
      </c>
      <c r="L1178" s="1" t="str">
        <f t="shared" si="388"/>
        <v>R</v>
      </c>
      <c r="M1178" s="1" t="str">
        <f>"T04"</f>
        <v>T04</v>
      </c>
      <c r="N1178" s="1" t="str">
        <f t="shared" si="389"/>
        <v>Y</v>
      </c>
      <c r="O1178" s="1" t="str">
        <f t="shared" si="393"/>
        <v>Y</v>
      </c>
      <c r="P1178" s="1" t="str">
        <f t="shared" si="392"/>
        <v>Y</v>
      </c>
      <c r="Q1178" s="1" t="str">
        <f t="shared" si="396"/>
        <v>A</v>
      </c>
    </row>
    <row r="1179" spans="1:17" x14ac:dyDescent="0.3">
      <c r="A1179" s="1" t="str">
        <f t="shared" si="394"/>
        <v>D2</v>
      </c>
      <c r="B1179" s="1" t="str">
        <f>"J0189"</f>
        <v>J0189</v>
      </c>
      <c r="C1179" s="1" t="str">
        <f>"청각장애(우측)"</f>
        <v>청각장애(우측)</v>
      </c>
      <c r="D1179" s="1" t="str">
        <f>"청각장애로 인한 청력저하"</f>
        <v>청각장애로 인한 청력저하</v>
      </c>
      <c r="E1179" s="1" t="str">
        <f t="shared" si="390"/>
        <v>WOK02</v>
      </c>
      <c r="F1179" s="1" t="str">
        <f>"PTM01"</f>
        <v>PTM01</v>
      </c>
      <c r="G1179" s="1" t="str">
        <f>"DISH"</f>
        <v>DISH</v>
      </c>
      <c r="H1179" s="1" t="str">
        <f>"REL19"</f>
        <v>REL19</v>
      </c>
      <c r="I1179" s="1" t="str">
        <f>"01"</f>
        <v>01</v>
      </c>
      <c r="J1179" s="1" t="str">
        <f>"C55D"</f>
        <v>C55D</v>
      </c>
      <c r="K1179" s="1" t="str">
        <f>"C55D"</f>
        <v>C55D</v>
      </c>
      <c r="L1179" s="1" t="str">
        <f t="shared" si="388"/>
        <v>R</v>
      </c>
      <c r="M1179" s="1" t="str">
        <f>"T10"</f>
        <v>T10</v>
      </c>
      <c r="N1179" s="1" t="str">
        <f t="shared" si="389"/>
        <v>Y</v>
      </c>
      <c r="O1179" s="1" t="str">
        <f t="shared" si="393"/>
        <v>Y</v>
      </c>
      <c r="P1179" s="1" t="str">
        <f t="shared" si="392"/>
        <v>Y</v>
      </c>
      <c r="Q1179" s="1" t="str">
        <f>"R"</f>
        <v>R</v>
      </c>
    </row>
    <row r="1180" spans="1:17" x14ac:dyDescent="0.3">
      <c r="A1180" s="1" t="str">
        <f t="shared" si="394"/>
        <v>D2</v>
      </c>
      <c r="B1180" s="1" t="str">
        <f>"J0210"</f>
        <v>J0210</v>
      </c>
      <c r="C1180" s="1" t="str">
        <f>"고지혈증 치료중"</f>
        <v>고지혈증 치료중</v>
      </c>
      <c r="D1180" s="1" t="str">
        <f>"콜레스테롤이 잘 조절되고 있습니다. 지속적인 콜레스테롤관리 하세요."</f>
        <v>콜레스테롤이 잘 조절되고 있습니다. 지속적인 콜레스테롤관리 하세요.</v>
      </c>
      <c r="E1180" s="1" t="str">
        <f t="shared" si="390"/>
        <v>WOK02</v>
      </c>
      <c r="F1180" s="1" t="str">
        <f>"PTM04"</f>
        <v>PTM04</v>
      </c>
      <c r="G1180" s="1" t="str">
        <f>"DISE"</f>
        <v>DISE</v>
      </c>
      <c r="H1180" s="1" t="str">
        <f>"REL04"</f>
        <v>REL04</v>
      </c>
      <c r="I1180" s="1" t="str">
        <f>""</f>
        <v/>
      </c>
      <c r="J1180" s="1" t="str">
        <f>"C04D"</f>
        <v>C04D</v>
      </c>
      <c r="K1180" s="1" t="str">
        <f>"C04D"</f>
        <v>C04D</v>
      </c>
      <c r="L1180" s="1" t="str">
        <f t="shared" si="388"/>
        <v>R</v>
      </c>
      <c r="M1180" s="1" t="str">
        <f>"T03"</f>
        <v>T03</v>
      </c>
      <c r="N1180" s="1" t="str">
        <f t="shared" si="389"/>
        <v>Y</v>
      </c>
      <c r="O1180" s="1" t="str">
        <f t="shared" si="393"/>
        <v>Y</v>
      </c>
      <c r="P1180" s="1" t="str">
        <f t="shared" si="392"/>
        <v>Y</v>
      </c>
      <c r="Q1180" s="1" t="str">
        <f t="shared" ref="Q1180:Q1186" si="399">"A"</f>
        <v>A</v>
      </c>
    </row>
    <row r="1181" spans="1:17" x14ac:dyDescent="0.3">
      <c r="A1181" s="1" t="str">
        <f t="shared" si="394"/>
        <v>D2</v>
      </c>
      <c r="B1181" s="1" t="str">
        <f>"J0213"</f>
        <v>J0213</v>
      </c>
      <c r="C1181" s="1" t="str">
        <f>"간 질환"</f>
        <v>간 질환</v>
      </c>
      <c r="D1181" s="1" t="str">
        <f>"간기능 이상이 의심됩니다. 가까운 의료기관을 방문해 정확한 진단과 치료를 받으세요."</f>
        <v>간기능 이상이 의심됩니다. 가까운 의료기관을 방문해 정확한 진단과 치료를 받으세요.</v>
      </c>
      <c r="E1181" s="1" t="str">
        <f t="shared" si="390"/>
        <v>WOK02</v>
      </c>
      <c r="F1181" s="1" t="str">
        <f>"PTM04"</f>
        <v>PTM04</v>
      </c>
      <c r="G1181" s="1" t="str">
        <f>"DISK"</f>
        <v>DISK</v>
      </c>
      <c r="H1181" s="1" t="str">
        <f>"REL05"</f>
        <v>REL05</v>
      </c>
      <c r="I1181" s="1" t="str">
        <f>""</f>
        <v/>
      </c>
      <c r="J1181" s="1" t="str">
        <f>"C05D"</f>
        <v>C05D</v>
      </c>
      <c r="K1181" s="1" t="str">
        <f>"C05D"</f>
        <v>C05D</v>
      </c>
      <c r="L1181" s="1" t="str">
        <f t="shared" si="388"/>
        <v>R</v>
      </c>
      <c r="M1181" s="1" t="str">
        <f>"T02"</f>
        <v>T02</v>
      </c>
      <c r="N1181" s="1" t="str">
        <f t="shared" si="389"/>
        <v>Y</v>
      </c>
      <c r="O1181" s="1" t="str">
        <f t="shared" si="393"/>
        <v>Y</v>
      </c>
      <c r="P1181" s="1" t="str">
        <f t="shared" si="392"/>
        <v>Y</v>
      </c>
      <c r="Q1181" s="1" t="str">
        <f t="shared" si="399"/>
        <v>A</v>
      </c>
    </row>
    <row r="1182" spans="1:17" x14ac:dyDescent="0.3">
      <c r="A1182" s="1" t="str">
        <f t="shared" si="394"/>
        <v>D2</v>
      </c>
      <c r="B1182" s="1" t="str">
        <f>"J02320"</f>
        <v>J02320</v>
      </c>
      <c r="C1182" s="1" t="str">
        <f>"비중격만곡증"</f>
        <v>비중격만곡증</v>
      </c>
      <c r="D1182" s="1" t="str">
        <f>"비중격만곡증 및 부비동염에 대한 수술적 치료가 필요합니다."</f>
        <v>비중격만곡증 및 부비동염에 대한 수술적 치료가 필요합니다.</v>
      </c>
      <c r="E1182" s="1" t="str">
        <f t="shared" si="390"/>
        <v>WOK02</v>
      </c>
      <c r="F1182" s="1" t="str">
        <f>"PTM03"</f>
        <v>PTM03</v>
      </c>
      <c r="G1182" s="1" t="str">
        <f>"DISH"</f>
        <v>DISH</v>
      </c>
      <c r="H1182" s="1" t="str">
        <f>"REL31"</f>
        <v>REL31</v>
      </c>
      <c r="I1182" s="1" t="str">
        <f>""</f>
        <v/>
      </c>
      <c r="J1182" s="1" t="str">
        <f>"C38D"</f>
        <v>C38D</v>
      </c>
      <c r="K1182" s="1" t="str">
        <f>"C38D"</f>
        <v>C38D</v>
      </c>
      <c r="L1182" s="1" t="str">
        <f t="shared" si="388"/>
        <v>R</v>
      </c>
      <c r="M1182" s="1" t="str">
        <f>"T10"</f>
        <v>T10</v>
      </c>
      <c r="N1182" s="1" t="str">
        <f t="shared" si="389"/>
        <v>Y</v>
      </c>
      <c r="O1182" s="1" t="str">
        <f t="shared" si="393"/>
        <v>Y</v>
      </c>
      <c r="P1182" s="1" t="str">
        <f t="shared" si="392"/>
        <v>Y</v>
      </c>
      <c r="Q1182" s="1" t="str">
        <f t="shared" si="399"/>
        <v>A</v>
      </c>
    </row>
    <row r="1183" spans="1:17" x14ac:dyDescent="0.3">
      <c r="A1183" s="1" t="str">
        <f t="shared" si="394"/>
        <v>D2</v>
      </c>
      <c r="B1183" s="1" t="str">
        <f>"J0241"</f>
        <v>J0241</v>
      </c>
      <c r="C1183" s="1" t="str">
        <f>"신장질환(요소질소 상승)"</f>
        <v>신장질환(요소질소 상승)</v>
      </c>
      <c r="D1183" s="1" t="str">
        <f>"혈중 요소 질소가 정상범위 이상입니다. 추적검사 및 신기능에 대한 정밀검사 위해 내과진료 하시기 바랍니다.(요소질소는 단백과다섭취  탈수  감염증 등에서도 상승할 수 있습니다.)"</f>
        <v>혈중 요소 질소가 정상범위 이상입니다. 추적검사 및 신기능에 대한 정밀검사 위해 내과진료 하시기 바랍니다.(요소질소는 단백과다섭취  탈수  감염증 등에서도 상승할 수 있습니다.)</v>
      </c>
      <c r="E1183" s="1" t="str">
        <f t="shared" si="390"/>
        <v>WOK02</v>
      </c>
      <c r="F1183" s="1" t="str">
        <f>"PTM04"</f>
        <v>PTM04</v>
      </c>
      <c r="G1183" s="1" t="str">
        <f>"DISN"</f>
        <v>DISN</v>
      </c>
      <c r="H1183" s="1" t="str">
        <f>"REL08"</f>
        <v>REL08</v>
      </c>
      <c r="I1183" s="1" t="str">
        <f>""</f>
        <v/>
      </c>
      <c r="J1183" s="1" t="str">
        <f>"C07D"</f>
        <v>C07D</v>
      </c>
      <c r="K1183" s="1" t="str">
        <f>"C07D"</f>
        <v>C07D</v>
      </c>
      <c r="L1183" s="1" t="str">
        <f t="shared" si="388"/>
        <v>R</v>
      </c>
      <c r="M1183" s="1" t="str">
        <f>"T05"</f>
        <v>T05</v>
      </c>
      <c r="N1183" s="1" t="str">
        <f t="shared" si="389"/>
        <v>Y</v>
      </c>
      <c r="O1183" s="1" t="str">
        <f t="shared" si="393"/>
        <v>Y</v>
      </c>
      <c r="P1183" s="1" t="str">
        <f t="shared" si="392"/>
        <v>Y</v>
      </c>
      <c r="Q1183" s="1" t="str">
        <f t="shared" si="399"/>
        <v>A</v>
      </c>
    </row>
    <row r="1184" spans="1:17" x14ac:dyDescent="0.3">
      <c r="A1184" s="1" t="str">
        <f t="shared" si="394"/>
        <v>D2</v>
      </c>
      <c r="B1184" s="1" t="str">
        <f>"J0246"</f>
        <v>J0246</v>
      </c>
      <c r="C1184" s="1" t="str">
        <f>"HBE 항원 양성"</f>
        <v>HBE 항원 양성</v>
      </c>
      <c r="D1184" s="1" t="s">
        <v>366</v>
      </c>
      <c r="E1184" s="1" t="str">
        <f>"WOK03"</f>
        <v>WOK03</v>
      </c>
      <c r="F1184" s="1" t="str">
        <f>"PTM04"</f>
        <v>PTM04</v>
      </c>
      <c r="G1184" s="1" t="str">
        <f>"DISB"</f>
        <v>DISB</v>
      </c>
      <c r="H1184" s="1" t="str">
        <f>"REL05"</f>
        <v>REL05</v>
      </c>
      <c r="I1184" s="1" t="str">
        <f>""</f>
        <v/>
      </c>
      <c r="J1184" s="1" t="str">
        <f>"C32D"</f>
        <v>C32D</v>
      </c>
      <c r="K1184" s="1" t="str">
        <f>"C32D"</f>
        <v>C32D</v>
      </c>
      <c r="L1184" s="1" t="str">
        <f t="shared" si="388"/>
        <v>R</v>
      </c>
      <c r="M1184" s="1" t="str">
        <f>"T02"</f>
        <v>T02</v>
      </c>
      <c r="N1184" s="1" t="str">
        <f t="shared" si="389"/>
        <v>Y</v>
      </c>
      <c r="O1184" s="1" t="str">
        <f t="shared" si="393"/>
        <v>Y</v>
      </c>
      <c r="P1184" s="1" t="str">
        <f t="shared" si="392"/>
        <v>Y</v>
      </c>
      <c r="Q1184" s="1" t="str">
        <f t="shared" si="399"/>
        <v>A</v>
      </c>
    </row>
    <row r="1185" spans="1:17" x14ac:dyDescent="0.3">
      <c r="A1185" s="1" t="str">
        <f t="shared" si="394"/>
        <v>D2</v>
      </c>
      <c r="B1185" s="1" t="str">
        <f>"J0269"</f>
        <v>J0269</v>
      </c>
      <c r="C1185" s="1" t="str">
        <f>"신장질환 의심"</f>
        <v>신장질환 의심</v>
      </c>
      <c r="D1185" s="1" t="str">
        <f>"신장기능이 떨어져 있는 것으로 보입니다. 신장내과 진료를 받아보시기 바랍니다."</f>
        <v>신장기능이 떨어져 있는 것으로 보입니다. 신장내과 진료를 받아보시기 바랍니다.</v>
      </c>
      <c r="E1185" s="1" t="str">
        <f>"WOK02"</f>
        <v>WOK02</v>
      </c>
      <c r="F1185" s="1" t="str">
        <f>"PTM04"</f>
        <v>PTM04</v>
      </c>
      <c r="G1185" s="1" t="str">
        <f>"DISN"</f>
        <v>DISN</v>
      </c>
      <c r="H1185" s="1" t="str">
        <f>"REL08"</f>
        <v>REL08</v>
      </c>
      <c r="I1185" s="1" t="str">
        <f>""</f>
        <v/>
      </c>
      <c r="J1185" s="1" t="str">
        <f>"C07D"</f>
        <v>C07D</v>
      </c>
      <c r="K1185" s="1" t="str">
        <f>"C07D"</f>
        <v>C07D</v>
      </c>
      <c r="L1185" s="1" t="str">
        <f t="shared" si="388"/>
        <v>R</v>
      </c>
      <c r="M1185" s="1" t="str">
        <f>"T05"</f>
        <v>T05</v>
      </c>
      <c r="N1185" s="1" t="str">
        <f t="shared" si="389"/>
        <v>Y</v>
      </c>
      <c r="O1185" s="1" t="str">
        <f t="shared" si="393"/>
        <v>Y</v>
      </c>
      <c r="P1185" s="1" t="str">
        <f t="shared" si="392"/>
        <v>Y</v>
      </c>
      <c r="Q1185" s="1" t="str">
        <f t="shared" si="399"/>
        <v>A</v>
      </c>
    </row>
    <row r="1186" spans="1:17" x14ac:dyDescent="0.3">
      <c r="A1186" s="1" t="str">
        <f t="shared" si="394"/>
        <v>D2</v>
      </c>
      <c r="B1186" s="1" t="str">
        <f>"J0294"</f>
        <v>J0294</v>
      </c>
      <c r="C1186" s="1" t="str">
        <f>"(양측)돌발성난청"</f>
        <v>(양측)돌발성난청</v>
      </c>
      <c r="D1186" s="1" t="str">
        <f>"이비인후과 진료 받으시고 정기적으로 청력검사 받으세요."</f>
        <v>이비인후과 진료 받으시고 정기적으로 청력검사 받으세요.</v>
      </c>
      <c r="E1186" s="1" t="str">
        <f>"WOK02"</f>
        <v>WOK02</v>
      </c>
      <c r="F1186" s="1" t="str">
        <f>"PTM04"</f>
        <v>PTM04</v>
      </c>
      <c r="G1186" s="1" t="str">
        <f>"DISH"</f>
        <v>DISH</v>
      </c>
      <c r="H1186" s="1" t="str">
        <f>"REL19"</f>
        <v>REL19</v>
      </c>
      <c r="I1186" s="1" t="str">
        <f>"01"</f>
        <v>01</v>
      </c>
      <c r="J1186" s="1" t="str">
        <f>"C55D"</f>
        <v>C55D</v>
      </c>
      <c r="K1186" s="1" t="str">
        <f>"C55D"</f>
        <v>C55D</v>
      </c>
      <c r="L1186" s="1" t="str">
        <f t="shared" si="388"/>
        <v>R</v>
      </c>
      <c r="M1186" s="1" t="str">
        <f>"T10"</f>
        <v>T10</v>
      </c>
      <c r="N1186" s="1" t="str">
        <f t="shared" si="389"/>
        <v>Y</v>
      </c>
      <c r="O1186" s="1" t="str">
        <f t="shared" si="393"/>
        <v>Y</v>
      </c>
      <c r="P1186" s="1" t="str">
        <f t="shared" si="392"/>
        <v>Y</v>
      </c>
      <c r="Q1186" s="1" t="str">
        <f t="shared" si="399"/>
        <v>A</v>
      </c>
    </row>
    <row r="1187" spans="1:17" x14ac:dyDescent="0.3">
      <c r="A1187" s="1" t="str">
        <f t="shared" si="394"/>
        <v>D2</v>
      </c>
      <c r="B1187" s="1" t="str">
        <f>"J0499"</f>
        <v>J0499</v>
      </c>
      <c r="C1187" s="1" t="str">
        <f>"청각장애(좌측)"</f>
        <v>청각장애(좌측)</v>
      </c>
      <c r="D1187" s="1" t="str">
        <f>"청각장애로 인한 청력저하"</f>
        <v>청각장애로 인한 청력저하</v>
      </c>
      <c r="E1187" s="1" t="str">
        <f>"WOK02"</f>
        <v>WOK02</v>
      </c>
      <c r="F1187" s="1" t="str">
        <f>"PTM01"</f>
        <v>PTM01</v>
      </c>
      <c r="G1187" s="1" t="str">
        <f>"DISH"</f>
        <v>DISH</v>
      </c>
      <c r="H1187" s="1" t="str">
        <f>"REL19"</f>
        <v>REL19</v>
      </c>
      <c r="I1187" s="1" t="str">
        <f>"01"</f>
        <v>01</v>
      </c>
      <c r="J1187" s="1" t="str">
        <f>"C55D"</f>
        <v>C55D</v>
      </c>
      <c r="K1187" s="1" t="str">
        <f>"C55D"</f>
        <v>C55D</v>
      </c>
      <c r="L1187" s="1" t="str">
        <f t="shared" si="388"/>
        <v>R</v>
      </c>
      <c r="M1187" s="1" t="str">
        <f>"T10"</f>
        <v>T10</v>
      </c>
      <c r="N1187" s="1" t="str">
        <f t="shared" si="389"/>
        <v>Y</v>
      </c>
      <c r="O1187" s="1" t="str">
        <f t="shared" si="393"/>
        <v>Y</v>
      </c>
      <c r="P1187" s="1" t="str">
        <f t="shared" si="392"/>
        <v>Y</v>
      </c>
      <c r="Q1187" s="1" t="str">
        <f>"L"</f>
        <v>L</v>
      </c>
    </row>
    <row r="1188" spans="1:17" x14ac:dyDescent="0.3">
      <c r="A1188" s="1" t="str">
        <f t="shared" si="394"/>
        <v>D2</v>
      </c>
      <c r="B1188" s="1" t="str">
        <f>"L032001"</f>
        <v>L032001</v>
      </c>
      <c r="C1188" s="1" t="str">
        <f>"B형간염 보균 상태"</f>
        <v>B형간염 보균 상태</v>
      </c>
      <c r="D1188" s="1" t="s">
        <v>367</v>
      </c>
      <c r="E1188" s="1" t="str">
        <f>"WOK02"</f>
        <v>WOK02</v>
      </c>
      <c r="F1188" s="1" t="str">
        <f>""</f>
        <v/>
      </c>
      <c r="G1188" s="1" t="str">
        <f>"DISB"</f>
        <v>DISB</v>
      </c>
      <c r="H1188" s="1" t="str">
        <f>"REL05"</f>
        <v>REL05</v>
      </c>
      <c r="I1188" s="1" t="str">
        <f>""</f>
        <v/>
      </c>
      <c r="J1188" s="1" t="str">
        <f>"C05D"</f>
        <v>C05D</v>
      </c>
      <c r="K1188" s="1" t="str">
        <f>"C05D"</f>
        <v>C05D</v>
      </c>
      <c r="L1188" s="1" t="str">
        <f t="shared" si="388"/>
        <v>R</v>
      </c>
      <c r="M1188" s="1" t="str">
        <f>"T02"</f>
        <v>T02</v>
      </c>
      <c r="N1188" s="1" t="str">
        <f t="shared" si="389"/>
        <v>Y</v>
      </c>
      <c r="O1188" s="1" t="str">
        <f t="shared" si="393"/>
        <v>Y</v>
      </c>
      <c r="P1188" s="1" t="str">
        <f t="shared" si="392"/>
        <v>Y</v>
      </c>
      <c r="Q1188" s="1" t="str">
        <f t="shared" ref="Q1188:Q1208" si="400">"A"</f>
        <v>A</v>
      </c>
    </row>
    <row r="1189" spans="1:17" x14ac:dyDescent="0.3">
      <c r="A1189" s="1" t="str">
        <f t="shared" si="394"/>
        <v>D2</v>
      </c>
      <c r="B1189" s="1" t="str">
        <f>"L032001BB"</f>
        <v>L032001BB</v>
      </c>
      <c r="C1189" s="1" t="str">
        <f>"B형간염 보균상태"</f>
        <v>B형간염 보균상태</v>
      </c>
      <c r="D1189" s="1" t="str">
        <f>"B형 간염 보유 상태입니다. 주기적으로 간염 관련 혈액검사와 초음파 검사를 받으셔야 합니다. 소화기내과 진료를 받으세요."</f>
        <v>B형 간염 보유 상태입니다. 주기적으로 간염 관련 혈액검사와 초음파 검사를 받으셔야 합니다. 소화기내과 진료를 받으세요.</v>
      </c>
      <c r="E1189" s="1" t="str">
        <f>"WOK02"</f>
        <v>WOK02</v>
      </c>
      <c r="F1189" s="1" t="str">
        <f>""</f>
        <v/>
      </c>
      <c r="G1189" s="1" t="str">
        <f>"DISB"</f>
        <v>DISB</v>
      </c>
      <c r="H1189" s="1" t="str">
        <f>"REL05"</f>
        <v>REL05</v>
      </c>
      <c r="I1189" s="1" t="str">
        <f>""</f>
        <v/>
      </c>
      <c r="J1189" s="1" t="str">
        <f>""</f>
        <v/>
      </c>
      <c r="K1189" s="1" t="str">
        <f>""</f>
        <v/>
      </c>
      <c r="L1189" s="1" t="str">
        <f t="shared" si="388"/>
        <v>R</v>
      </c>
      <c r="M1189" s="1" t="str">
        <f>"T02"</f>
        <v>T02</v>
      </c>
      <c r="N1189" s="1" t="str">
        <f t="shared" si="389"/>
        <v>Y</v>
      </c>
      <c r="O1189" s="1" t="str">
        <f t="shared" si="393"/>
        <v>Y</v>
      </c>
      <c r="P1189" s="1" t="str">
        <f t="shared" si="392"/>
        <v>Y</v>
      </c>
      <c r="Q1189" s="1" t="str">
        <f t="shared" si="400"/>
        <v>A</v>
      </c>
    </row>
    <row r="1190" spans="1:17" x14ac:dyDescent="0.3">
      <c r="A1190" s="1" t="str">
        <f t="shared" si="394"/>
        <v>D2</v>
      </c>
      <c r="B1190" s="1" t="str">
        <f>"L244302"</f>
        <v>L244302</v>
      </c>
      <c r="C1190" s="1" t="str">
        <f>"고지혈증주의 (중성지방 상승)"</f>
        <v>고지혈증주의 (중성지방 상승)</v>
      </c>
      <c r="D1190" s="1" t="str">
        <f>"혈중 중성지방이 증가되어 있습니다. 혈중 중성지방은 대부분 섭취한 음식과 관련이 있습니다. 육류 등 지방뿐만 아니라 쌀밥이나 밀가루 음식과 같은 탄수화물도 과도섭취하면 중성지방치가 높아집니다. 내원하셔서 상담하시기 바랍니다."</f>
        <v>혈중 중성지방이 증가되어 있습니다. 혈중 중성지방은 대부분 섭취한 음식과 관련이 있습니다. 육류 등 지방뿐만 아니라 쌀밥이나 밀가루 음식과 같은 탄수화물도 과도섭취하면 중성지방치가 높아집니다. 내원하셔서 상담하시기 바랍니다.</v>
      </c>
      <c r="E1190" s="1" t="str">
        <f>""</f>
        <v/>
      </c>
      <c r="F1190" s="1" t="str">
        <f>""</f>
        <v/>
      </c>
      <c r="G1190" s="1" t="str">
        <f>""</f>
        <v/>
      </c>
      <c r="H1190" s="1" t="str">
        <f>""</f>
        <v/>
      </c>
      <c r="I1190" s="1" t="str">
        <f>""</f>
        <v/>
      </c>
      <c r="J1190" s="1" t="str">
        <f>""</f>
        <v/>
      </c>
      <c r="K1190" s="1" t="str">
        <f>""</f>
        <v/>
      </c>
      <c r="L1190" s="1" t="str">
        <f t="shared" si="388"/>
        <v>R</v>
      </c>
      <c r="M1190" s="1" t="str">
        <f>""</f>
        <v/>
      </c>
      <c r="N1190" s="1" t="str">
        <f t="shared" si="389"/>
        <v>Y</v>
      </c>
      <c r="O1190" s="1" t="str">
        <f t="shared" si="393"/>
        <v>Y</v>
      </c>
      <c r="P1190" s="1" t="str">
        <f t="shared" si="392"/>
        <v>Y</v>
      </c>
      <c r="Q1190" s="1" t="str">
        <f t="shared" si="400"/>
        <v>A</v>
      </c>
    </row>
    <row r="1191" spans="1:17" x14ac:dyDescent="0.3">
      <c r="A1191" s="1" t="str">
        <f t="shared" si="394"/>
        <v>D2</v>
      </c>
      <c r="B1191" s="1" t="str">
        <f>"L244302H"</f>
        <v>L244302H</v>
      </c>
      <c r="C1191" s="1" t="str">
        <f>"고지혈증주의 (중성지방 상승)"</f>
        <v>고지혈증주의 (중성지방 상승)</v>
      </c>
      <c r="D1191" s="1" t="str">
        <f>"혈중 중성지방이 증가되어 있습니다. 혈중 중성지방은 대부분 섭취한 음식과 관련이 있습니다. 육류 등 지방뿐만 아니라 쌀밥이나 밀가루 음식과 같은 탄수화물도 과도섭취하면 중성지방치가 높아집니다. 내분비내과 진료 받으시기 바랍니다."</f>
        <v>혈중 중성지방이 증가되어 있습니다. 혈중 중성지방은 대부분 섭취한 음식과 관련이 있습니다. 육류 등 지방뿐만 아니라 쌀밥이나 밀가루 음식과 같은 탄수화물도 과도섭취하면 중성지방치가 높아집니다. 내분비내과 진료 받으시기 바랍니다.</v>
      </c>
      <c r="E1191" s="1" t="str">
        <f>""</f>
        <v/>
      </c>
      <c r="F1191" s="1" t="str">
        <f>""</f>
        <v/>
      </c>
      <c r="G1191" s="1" t="str">
        <f>""</f>
        <v/>
      </c>
      <c r="H1191" s="1" t="str">
        <f>""</f>
        <v/>
      </c>
      <c r="I1191" s="1" t="str">
        <f>""</f>
        <v/>
      </c>
      <c r="J1191" s="1" t="str">
        <f>""</f>
        <v/>
      </c>
      <c r="K1191" s="1" t="str">
        <f>""</f>
        <v/>
      </c>
      <c r="L1191" s="1" t="str">
        <f t="shared" si="388"/>
        <v>R</v>
      </c>
      <c r="M1191" s="1" t="str">
        <f>""</f>
        <v/>
      </c>
      <c r="N1191" s="1" t="str">
        <f t="shared" si="389"/>
        <v>Y</v>
      </c>
      <c r="O1191" s="1" t="str">
        <f t="shared" si="393"/>
        <v>Y</v>
      </c>
      <c r="P1191" s="1" t="str">
        <f t="shared" si="392"/>
        <v>Y</v>
      </c>
      <c r="Q1191" s="1" t="str">
        <f t="shared" si="400"/>
        <v>A</v>
      </c>
    </row>
    <row r="1192" spans="1:17" x14ac:dyDescent="0.3">
      <c r="A1192" s="1" t="str">
        <f t="shared" si="394"/>
        <v>D2</v>
      </c>
      <c r="B1192" s="1" t="str">
        <f>"L372002"</f>
        <v>L372002</v>
      </c>
      <c r="C1192" s="1" t="str">
        <f>"총빌리루빈 초과"</f>
        <v>총빌리루빈 초과</v>
      </c>
      <c r="D1192" s="1" t="s">
        <v>368</v>
      </c>
      <c r="E1192" s="1" t="str">
        <f>""</f>
        <v/>
      </c>
      <c r="F1192" s="1" t="str">
        <f>""</f>
        <v/>
      </c>
      <c r="G1192" s="1" t="str">
        <f>""</f>
        <v/>
      </c>
      <c r="H1192" s="1" t="str">
        <f>""</f>
        <v/>
      </c>
      <c r="I1192" s="1" t="str">
        <f>""</f>
        <v/>
      </c>
      <c r="J1192" s="1" t="str">
        <f>""</f>
        <v/>
      </c>
      <c r="K1192" s="1" t="str">
        <f>""</f>
        <v/>
      </c>
      <c r="L1192" s="1" t="str">
        <f t="shared" si="388"/>
        <v>R</v>
      </c>
      <c r="M1192" s="1" t="str">
        <f>""</f>
        <v/>
      </c>
      <c r="N1192" s="1" t="str">
        <f t="shared" si="389"/>
        <v>Y</v>
      </c>
      <c r="O1192" s="1" t="str">
        <f t="shared" si="393"/>
        <v>Y</v>
      </c>
      <c r="P1192" s="1" t="str">
        <f t="shared" si="392"/>
        <v>Y</v>
      </c>
      <c r="Q1192" s="1" t="str">
        <f t="shared" si="400"/>
        <v>A</v>
      </c>
    </row>
    <row r="1193" spans="1:17" x14ac:dyDescent="0.3">
      <c r="A1193" s="1" t="str">
        <f t="shared" si="394"/>
        <v>D2</v>
      </c>
      <c r="B1193" s="1" t="str">
        <f>"LEK401"</f>
        <v>LEK401</v>
      </c>
      <c r="C1193" s="1" t="str">
        <f>"백혈구 증가"</f>
        <v>백혈구 증가</v>
      </c>
      <c r="D1193" s="1" t="str">
        <f>"백혈구 수가 증가하였습니다. 감염 등에 의해 발생할 수 있습니다. 혈액내과 진료 바랍니다."</f>
        <v>백혈구 수가 증가하였습니다. 감염 등에 의해 발생할 수 있습니다. 혈액내과 진료 바랍니다.</v>
      </c>
      <c r="E1193" s="1" t="str">
        <f t="shared" ref="E1193:E1206" si="401">"WOK02"</f>
        <v>WOK02</v>
      </c>
      <c r="F1193" s="1" t="str">
        <f t="shared" ref="F1193:F1209" si="402">"PTM04"</f>
        <v>PTM04</v>
      </c>
      <c r="G1193" s="1" t="str">
        <f>"DISD"</f>
        <v>DISD</v>
      </c>
      <c r="H1193" s="1" t="str">
        <f>"REL12"</f>
        <v>REL12</v>
      </c>
      <c r="I1193" s="1" t="str">
        <f>""</f>
        <v/>
      </c>
      <c r="J1193" s="1" t="str">
        <f>"C34D"</f>
        <v>C34D</v>
      </c>
      <c r="K1193" s="1" t="str">
        <f>"C34D"</f>
        <v>C34D</v>
      </c>
      <c r="L1193" s="1" t="str">
        <f t="shared" si="388"/>
        <v>R</v>
      </c>
      <c r="M1193" s="1" t="str">
        <f>"T01"</f>
        <v>T01</v>
      </c>
      <c r="N1193" s="1" t="str">
        <f t="shared" si="389"/>
        <v>Y</v>
      </c>
      <c r="O1193" s="1" t="str">
        <f t="shared" si="393"/>
        <v>Y</v>
      </c>
      <c r="P1193" s="1" t="str">
        <f t="shared" si="392"/>
        <v>Y</v>
      </c>
      <c r="Q1193" s="1" t="str">
        <f t="shared" si="400"/>
        <v>A</v>
      </c>
    </row>
    <row r="1194" spans="1:17" x14ac:dyDescent="0.3">
      <c r="A1194" s="1" t="str">
        <f t="shared" si="394"/>
        <v>D2</v>
      </c>
      <c r="B1194" s="1" t="str">
        <f>"LEK402"</f>
        <v>LEK402</v>
      </c>
      <c r="C1194" s="1" t="str">
        <f>"백혈구감소증"</f>
        <v>백혈구감소증</v>
      </c>
      <c r="D1194" s="1" t="str">
        <f>"백혈구감소증에 대한 원인추적검사위해 혈액내과진료를 받으세요."</f>
        <v>백혈구감소증에 대한 원인추적검사위해 혈액내과진료를 받으세요.</v>
      </c>
      <c r="E1194" s="1" t="str">
        <f t="shared" si="401"/>
        <v>WOK02</v>
      </c>
      <c r="F1194" s="1" t="str">
        <f t="shared" si="402"/>
        <v>PTM04</v>
      </c>
      <c r="G1194" s="1" t="str">
        <f>"DISD"</f>
        <v>DISD</v>
      </c>
      <c r="H1194" s="1" t="str">
        <f>"REL12"</f>
        <v>REL12</v>
      </c>
      <c r="I1194" s="1" t="str">
        <f>""</f>
        <v/>
      </c>
      <c r="J1194" s="1" t="str">
        <f>"C34D"</f>
        <v>C34D</v>
      </c>
      <c r="K1194" s="1" t="str">
        <f>"C34D"</f>
        <v>C34D</v>
      </c>
      <c r="L1194" s="1" t="str">
        <f t="shared" si="388"/>
        <v>R</v>
      </c>
      <c r="M1194" s="1" t="str">
        <f>"T01"</f>
        <v>T01</v>
      </c>
      <c r="N1194" s="1" t="str">
        <f t="shared" si="389"/>
        <v>Y</v>
      </c>
      <c r="O1194" s="1" t="str">
        <f t="shared" si="393"/>
        <v>Y</v>
      </c>
      <c r="P1194" s="1" t="str">
        <f t="shared" si="392"/>
        <v>Y</v>
      </c>
      <c r="Q1194" s="1" t="str">
        <f t="shared" si="400"/>
        <v>A</v>
      </c>
    </row>
    <row r="1195" spans="1:17" x14ac:dyDescent="0.3">
      <c r="A1195" s="1" t="str">
        <f t="shared" si="394"/>
        <v>D2</v>
      </c>
      <c r="B1195" s="1" t="str">
        <f>"LEK5016"</f>
        <v>LEK5016</v>
      </c>
      <c r="C1195" s="1" t="str">
        <f>"조혈기계 질환의심"</f>
        <v>조혈기계 질환의심</v>
      </c>
      <c r="D1195" s="1" t="str">
        <f>"조혈기계 질환이 의심됩니다. 정확한 진단을 위해 혈액내과 진료를 받으시기 바랍니다."</f>
        <v>조혈기계 질환이 의심됩니다. 정확한 진단을 위해 혈액내과 진료를 받으시기 바랍니다.</v>
      </c>
      <c r="E1195" s="1" t="str">
        <f t="shared" si="401"/>
        <v>WOK02</v>
      </c>
      <c r="F1195" s="1" t="str">
        <f t="shared" si="402"/>
        <v>PTM04</v>
      </c>
      <c r="G1195" s="1" t="str">
        <f>"DISD"</f>
        <v>DISD</v>
      </c>
      <c r="H1195" s="1" t="str">
        <f>"REL12"</f>
        <v>REL12</v>
      </c>
      <c r="I1195" s="1" t="str">
        <f>""</f>
        <v/>
      </c>
      <c r="J1195" s="1" t="str">
        <f>"C34C"</f>
        <v>C34C</v>
      </c>
      <c r="K1195" s="1" t="str">
        <f>"C34C"</f>
        <v>C34C</v>
      </c>
      <c r="L1195" s="1" t="str">
        <f t="shared" si="388"/>
        <v>R</v>
      </c>
      <c r="M1195" s="1" t="str">
        <f>"T01"</f>
        <v>T01</v>
      </c>
      <c r="N1195" s="1" t="str">
        <f t="shared" si="389"/>
        <v>Y</v>
      </c>
      <c r="O1195" s="1" t="str">
        <f t="shared" si="393"/>
        <v>Y</v>
      </c>
      <c r="P1195" s="1" t="str">
        <f t="shared" si="392"/>
        <v>Y</v>
      </c>
      <c r="Q1195" s="1" t="str">
        <f t="shared" si="400"/>
        <v>A</v>
      </c>
    </row>
    <row r="1196" spans="1:17" x14ac:dyDescent="0.3">
      <c r="A1196" s="1" t="str">
        <f t="shared" ref="A1196:A1227" si="403">"D2"</f>
        <v>D2</v>
      </c>
      <c r="B1196" s="1" t="str">
        <f>"LIPLT8"</f>
        <v>LIPLT8</v>
      </c>
      <c r="C1196" s="1" t="str">
        <f>"이상지질혈증"</f>
        <v>이상지질혈증</v>
      </c>
      <c r="D1196" s="1" t="str">
        <f>"혈중 콜레스테롤 농도가 매우 높습니다. 치료를 하지 않으면 심혈관계질환의 발병 가능성이 높아집니다. 내과나 가정의학과에서 진료를 받으세요."</f>
        <v>혈중 콜레스테롤 농도가 매우 높습니다. 치료를 하지 않으면 심혈관계질환의 발병 가능성이 높아집니다. 내과나 가정의학과에서 진료를 받으세요.</v>
      </c>
      <c r="E1196" s="1" t="str">
        <f t="shared" si="401"/>
        <v>WOK02</v>
      </c>
      <c r="F1196" s="1" t="str">
        <f t="shared" si="402"/>
        <v>PTM04</v>
      </c>
      <c r="G1196" s="1" t="str">
        <f t="shared" ref="G1196:G1206" si="404">"DISE"</f>
        <v>DISE</v>
      </c>
      <c r="H1196" s="1" t="str">
        <f t="shared" ref="H1196:H1206" si="405">"REL04"</f>
        <v>REL04</v>
      </c>
      <c r="I1196" s="1" t="str">
        <f>""</f>
        <v/>
      </c>
      <c r="J1196" s="1" t="str">
        <f t="shared" ref="J1196:K1206" si="406">"C04D"</f>
        <v>C04D</v>
      </c>
      <c r="K1196" s="1" t="str">
        <f t="shared" si="406"/>
        <v>C04D</v>
      </c>
      <c r="L1196" s="1" t="str">
        <f t="shared" si="388"/>
        <v>R</v>
      </c>
      <c r="M1196" s="1" t="str">
        <f t="shared" ref="M1196:M1206" si="407">"T03"</f>
        <v>T03</v>
      </c>
      <c r="N1196" s="1" t="str">
        <f t="shared" si="389"/>
        <v>Y</v>
      </c>
      <c r="O1196" s="1" t="str">
        <f t="shared" si="393"/>
        <v>Y</v>
      </c>
      <c r="P1196" s="1" t="str">
        <f t="shared" si="392"/>
        <v>Y</v>
      </c>
      <c r="Q1196" s="1" t="str">
        <f t="shared" si="400"/>
        <v>A</v>
      </c>
    </row>
    <row r="1197" spans="1:17" x14ac:dyDescent="0.3">
      <c r="A1197" s="1" t="str">
        <f t="shared" si="403"/>
        <v>D2</v>
      </c>
      <c r="B1197" s="1" t="str">
        <f>"LIPLT81"</f>
        <v>LIPLT81</v>
      </c>
      <c r="C1197" s="1" t="str">
        <f>"이상지질혈증"</f>
        <v>이상지질혈증</v>
      </c>
      <c r="D1197" s="1" t="str">
        <f>"혈중 중성지방산의 농도가 매우 높습니다. 중성지방산이 높을수록 심혈관계질환 발병의 위험도가 높아집니다. 내과나 가정의학과에서 진료를 받으세요."</f>
        <v>혈중 중성지방산의 농도가 매우 높습니다. 중성지방산이 높을수록 심혈관계질환 발병의 위험도가 높아집니다. 내과나 가정의학과에서 진료를 받으세요.</v>
      </c>
      <c r="E1197" s="1" t="str">
        <f t="shared" si="401"/>
        <v>WOK02</v>
      </c>
      <c r="F1197" s="1" t="str">
        <f t="shared" si="402"/>
        <v>PTM04</v>
      </c>
      <c r="G1197" s="1" t="str">
        <f t="shared" si="404"/>
        <v>DISE</v>
      </c>
      <c r="H1197" s="1" t="str">
        <f t="shared" si="405"/>
        <v>REL04</v>
      </c>
      <c r="I1197" s="1" t="str">
        <f>""</f>
        <v/>
      </c>
      <c r="J1197" s="1" t="str">
        <f t="shared" si="406"/>
        <v>C04D</v>
      </c>
      <c r="K1197" s="1" t="str">
        <f t="shared" si="406"/>
        <v>C04D</v>
      </c>
      <c r="L1197" s="1" t="str">
        <f t="shared" si="388"/>
        <v>R</v>
      </c>
      <c r="M1197" s="1" t="str">
        <f t="shared" si="407"/>
        <v>T03</v>
      </c>
      <c r="N1197" s="1" t="str">
        <f t="shared" si="389"/>
        <v>Y</v>
      </c>
      <c r="O1197" s="1" t="str">
        <f t="shared" si="393"/>
        <v>Y</v>
      </c>
      <c r="P1197" s="1" t="str">
        <f t="shared" si="392"/>
        <v>Y</v>
      </c>
      <c r="Q1197" s="1" t="str">
        <f t="shared" si="400"/>
        <v>A</v>
      </c>
    </row>
    <row r="1198" spans="1:17" x14ac:dyDescent="0.3">
      <c r="A1198" s="1" t="str">
        <f t="shared" si="403"/>
        <v>D2</v>
      </c>
      <c r="B1198" s="1" t="str">
        <f>"LIPLT81T"</f>
        <v>LIPLT81T</v>
      </c>
      <c r="C1198" s="1" t="str">
        <f>"이상지질혈증"</f>
        <v>이상지질혈증</v>
      </c>
      <c r="D1198" s="1" t="str">
        <f>"혈중 중성지방의 농도가 매우 높습니다. 혈중 중성지방이 높을수록 심혈관계질환 발병의 위험도가 높아집니다. 내과 또는 가정의학과 진료 바랍니다."</f>
        <v>혈중 중성지방의 농도가 매우 높습니다. 혈중 중성지방이 높을수록 심혈관계질환 발병의 위험도가 높아집니다. 내과 또는 가정의학과 진료 바랍니다.</v>
      </c>
      <c r="E1198" s="1" t="str">
        <f t="shared" si="401"/>
        <v>WOK02</v>
      </c>
      <c r="F1198" s="1" t="str">
        <f t="shared" si="402"/>
        <v>PTM04</v>
      </c>
      <c r="G1198" s="1" t="str">
        <f t="shared" si="404"/>
        <v>DISE</v>
      </c>
      <c r="H1198" s="1" t="str">
        <f t="shared" si="405"/>
        <v>REL04</v>
      </c>
      <c r="I1198" s="1" t="str">
        <f>""</f>
        <v/>
      </c>
      <c r="J1198" s="1" t="str">
        <f t="shared" si="406"/>
        <v>C04D</v>
      </c>
      <c r="K1198" s="1" t="str">
        <f t="shared" si="406"/>
        <v>C04D</v>
      </c>
      <c r="L1198" s="1" t="str">
        <f t="shared" si="388"/>
        <v>R</v>
      </c>
      <c r="M1198" s="1" t="str">
        <f t="shared" si="407"/>
        <v>T03</v>
      </c>
      <c r="N1198" s="1" t="str">
        <f t="shared" si="389"/>
        <v>Y</v>
      </c>
      <c r="O1198" s="1" t="str">
        <f t="shared" si="393"/>
        <v>Y</v>
      </c>
      <c r="P1198" s="1" t="str">
        <f t="shared" si="392"/>
        <v>Y</v>
      </c>
      <c r="Q1198" s="1" t="str">
        <f t="shared" si="400"/>
        <v>A</v>
      </c>
    </row>
    <row r="1199" spans="1:17" x14ac:dyDescent="0.3">
      <c r="A1199" s="1" t="str">
        <f t="shared" si="403"/>
        <v>D2</v>
      </c>
      <c r="B1199" s="1" t="str">
        <f>"LIPLT8T"</f>
        <v>LIPLT8T</v>
      </c>
      <c r="C1199" s="1" t="str">
        <f>"이상지질혈증 의심"</f>
        <v>이상지질혈증 의심</v>
      </c>
      <c r="D1199" s="1" t="str">
        <f>"혈중 콜레스테롤 농도가 높아 주의를 요합니다. 혈중 콜레스테롤 농도 상승 시 심혈관계 질환 발생 위험이 높아집니다. 내과 또는 가정의학과 진료 바랍니다."</f>
        <v>혈중 콜레스테롤 농도가 높아 주의를 요합니다. 혈중 콜레스테롤 농도 상승 시 심혈관계 질환 발생 위험이 높아집니다. 내과 또는 가정의학과 진료 바랍니다.</v>
      </c>
      <c r="E1199" s="1" t="str">
        <f t="shared" si="401"/>
        <v>WOK02</v>
      </c>
      <c r="F1199" s="1" t="str">
        <f t="shared" si="402"/>
        <v>PTM04</v>
      </c>
      <c r="G1199" s="1" t="str">
        <f t="shared" si="404"/>
        <v>DISE</v>
      </c>
      <c r="H1199" s="1" t="str">
        <f t="shared" si="405"/>
        <v>REL04</v>
      </c>
      <c r="I1199" s="1" t="str">
        <f>""</f>
        <v/>
      </c>
      <c r="J1199" s="1" t="str">
        <f t="shared" si="406"/>
        <v>C04D</v>
      </c>
      <c r="K1199" s="1" t="str">
        <f t="shared" si="406"/>
        <v>C04D</v>
      </c>
      <c r="L1199" s="1" t="str">
        <f t="shared" si="388"/>
        <v>R</v>
      </c>
      <c r="M1199" s="1" t="str">
        <f t="shared" si="407"/>
        <v>T03</v>
      </c>
      <c r="N1199" s="1" t="str">
        <f t="shared" si="389"/>
        <v>Y</v>
      </c>
      <c r="O1199" s="1" t="str">
        <f t="shared" si="393"/>
        <v>Y</v>
      </c>
      <c r="P1199" s="1" t="str">
        <f t="shared" si="392"/>
        <v>Y</v>
      </c>
      <c r="Q1199" s="1" t="str">
        <f t="shared" si="400"/>
        <v>A</v>
      </c>
    </row>
    <row r="1200" spans="1:17" x14ac:dyDescent="0.3">
      <c r="A1200" s="1" t="str">
        <f t="shared" si="403"/>
        <v>D2</v>
      </c>
      <c r="B1200" s="1" t="str">
        <f>"M0005"</f>
        <v>M0005</v>
      </c>
      <c r="C1200" s="1" t="str">
        <f>"고지혈증"</f>
        <v>고지혈증</v>
      </c>
      <c r="D1200" s="1" t="str">
        <f>"혈중 콜레스테롤 농도가 매우 높습니다. 치료를 하지 않으면 심혈관계질환의 발병 가능성이 높아집니다. 내과나 가정의학과에서 진료를 받으세요."</f>
        <v>혈중 콜레스테롤 농도가 매우 높습니다. 치료를 하지 않으면 심혈관계질환의 발병 가능성이 높아집니다. 내과나 가정의학과에서 진료를 받으세요.</v>
      </c>
      <c r="E1200" s="1" t="str">
        <f t="shared" si="401"/>
        <v>WOK02</v>
      </c>
      <c r="F1200" s="1" t="str">
        <f t="shared" si="402"/>
        <v>PTM04</v>
      </c>
      <c r="G1200" s="1" t="str">
        <f t="shared" si="404"/>
        <v>DISE</v>
      </c>
      <c r="H1200" s="1" t="str">
        <f t="shared" si="405"/>
        <v>REL04</v>
      </c>
      <c r="I1200" s="1" t="str">
        <f>""</f>
        <v/>
      </c>
      <c r="J1200" s="1" t="str">
        <f t="shared" si="406"/>
        <v>C04D</v>
      </c>
      <c r="K1200" s="1" t="str">
        <f t="shared" si="406"/>
        <v>C04D</v>
      </c>
      <c r="L1200" s="1" t="str">
        <f t="shared" si="388"/>
        <v>R</v>
      </c>
      <c r="M1200" s="1" t="str">
        <f t="shared" si="407"/>
        <v>T03</v>
      </c>
      <c r="N1200" s="1" t="str">
        <f t="shared" si="389"/>
        <v>Y</v>
      </c>
      <c r="O1200" s="1" t="str">
        <f t="shared" si="393"/>
        <v>Y</v>
      </c>
      <c r="P1200" s="1" t="str">
        <f t="shared" si="392"/>
        <v>Y</v>
      </c>
      <c r="Q1200" s="1" t="str">
        <f t="shared" si="400"/>
        <v>A</v>
      </c>
    </row>
    <row r="1201" spans="1:17" x14ac:dyDescent="0.3">
      <c r="A1201" s="1" t="str">
        <f t="shared" si="403"/>
        <v>D2</v>
      </c>
      <c r="B1201" s="1" t="str">
        <f>"M0006"</f>
        <v>M0006</v>
      </c>
      <c r="C1201" s="1" t="str">
        <f t="shared" ref="C1201:C1206" si="408">"이상지질혈증"</f>
        <v>이상지질혈증</v>
      </c>
      <c r="D1201" s="1" t="str">
        <f>"혈중 콜레스테롤 농도가 매우 높습니다. 치료를 하지 않으면 심혈관계질환의 발병위험도가 높습니다. 내과나 가정의학과에서 진료를 받으세요."</f>
        <v>혈중 콜레스테롤 농도가 매우 높습니다. 치료를 하지 않으면 심혈관계질환의 발병위험도가 높습니다. 내과나 가정의학과에서 진료를 받으세요.</v>
      </c>
      <c r="E1201" s="1" t="str">
        <f t="shared" si="401"/>
        <v>WOK02</v>
      </c>
      <c r="F1201" s="1" t="str">
        <f t="shared" si="402"/>
        <v>PTM04</v>
      </c>
      <c r="G1201" s="1" t="str">
        <f t="shared" si="404"/>
        <v>DISE</v>
      </c>
      <c r="H1201" s="1" t="str">
        <f t="shared" si="405"/>
        <v>REL04</v>
      </c>
      <c r="I1201" s="1" t="str">
        <f>""</f>
        <v/>
      </c>
      <c r="J1201" s="1" t="str">
        <f t="shared" si="406"/>
        <v>C04D</v>
      </c>
      <c r="K1201" s="1" t="str">
        <f t="shared" si="406"/>
        <v>C04D</v>
      </c>
      <c r="L1201" s="1" t="str">
        <f t="shared" si="388"/>
        <v>R</v>
      </c>
      <c r="M1201" s="1" t="str">
        <f t="shared" si="407"/>
        <v>T03</v>
      </c>
      <c r="N1201" s="1" t="str">
        <f t="shared" si="389"/>
        <v>Y</v>
      </c>
      <c r="O1201" s="1" t="str">
        <f t="shared" si="393"/>
        <v>Y</v>
      </c>
      <c r="P1201" s="1" t="str">
        <f t="shared" si="392"/>
        <v>Y</v>
      </c>
      <c r="Q1201" s="1" t="str">
        <f t="shared" si="400"/>
        <v>A</v>
      </c>
    </row>
    <row r="1202" spans="1:17" x14ac:dyDescent="0.3">
      <c r="A1202" s="1" t="str">
        <f t="shared" si="403"/>
        <v>D2</v>
      </c>
      <c r="B1202" s="1" t="str">
        <f>"M0007"</f>
        <v>M0007</v>
      </c>
      <c r="C1202" s="1" t="str">
        <f t="shared" si="408"/>
        <v>이상지질혈증</v>
      </c>
      <c r="D1202" s="1" t="str">
        <f>"혈중 중성지방산의 농도가 매우 높습니다. 중성지방산이 높으면 심혈관계질환의 발병위험도가 높습니다. 내과나 가정의학과에서 진료를 받으세요."</f>
        <v>혈중 중성지방산의 농도가 매우 높습니다. 중성지방산이 높으면 심혈관계질환의 발병위험도가 높습니다. 내과나 가정의학과에서 진료를 받으세요.</v>
      </c>
      <c r="E1202" s="1" t="str">
        <f t="shared" si="401"/>
        <v>WOK02</v>
      </c>
      <c r="F1202" s="1" t="str">
        <f t="shared" si="402"/>
        <v>PTM04</v>
      </c>
      <c r="G1202" s="1" t="str">
        <f t="shared" si="404"/>
        <v>DISE</v>
      </c>
      <c r="H1202" s="1" t="str">
        <f t="shared" si="405"/>
        <v>REL04</v>
      </c>
      <c r="I1202" s="1" t="str">
        <f>""</f>
        <v/>
      </c>
      <c r="J1202" s="1" t="str">
        <f t="shared" si="406"/>
        <v>C04D</v>
      </c>
      <c r="K1202" s="1" t="str">
        <f t="shared" si="406"/>
        <v>C04D</v>
      </c>
      <c r="L1202" s="1" t="str">
        <f t="shared" si="388"/>
        <v>R</v>
      </c>
      <c r="M1202" s="1" t="str">
        <f t="shared" si="407"/>
        <v>T03</v>
      </c>
      <c r="N1202" s="1" t="str">
        <f t="shared" si="389"/>
        <v>Y</v>
      </c>
      <c r="O1202" s="1" t="str">
        <f t="shared" si="393"/>
        <v>Y</v>
      </c>
      <c r="P1202" s="1" t="str">
        <f t="shared" si="392"/>
        <v>Y</v>
      </c>
      <c r="Q1202" s="1" t="str">
        <f t="shared" si="400"/>
        <v>A</v>
      </c>
    </row>
    <row r="1203" spans="1:17" x14ac:dyDescent="0.3">
      <c r="A1203" s="1" t="str">
        <f t="shared" si="403"/>
        <v>D2</v>
      </c>
      <c r="B1203" s="1" t="str">
        <f>"M0008"</f>
        <v>M0008</v>
      </c>
      <c r="C1203" s="1" t="str">
        <f t="shared" si="408"/>
        <v>이상지질혈증</v>
      </c>
      <c r="D1203" s="1" t="str">
        <f>"혈중 중성지방산의 농도가 매우 높습니다. 중성지방산이 높으면 심혈관계질환의 발병위험도가 높습니다. 내과나 가정의학과에서 진료를 받으세요."</f>
        <v>혈중 중성지방산의 농도가 매우 높습니다. 중성지방산이 높으면 심혈관계질환의 발병위험도가 높습니다. 내과나 가정의학과에서 진료를 받으세요.</v>
      </c>
      <c r="E1203" s="1" t="str">
        <f t="shared" si="401"/>
        <v>WOK02</v>
      </c>
      <c r="F1203" s="1" t="str">
        <f t="shared" si="402"/>
        <v>PTM04</v>
      </c>
      <c r="G1203" s="1" t="str">
        <f t="shared" si="404"/>
        <v>DISE</v>
      </c>
      <c r="H1203" s="1" t="str">
        <f t="shared" si="405"/>
        <v>REL04</v>
      </c>
      <c r="I1203" s="1" t="str">
        <f>""</f>
        <v/>
      </c>
      <c r="J1203" s="1" t="str">
        <f t="shared" si="406"/>
        <v>C04D</v>
      </c>
      <c r="K1203" s="1" t="str">
        <f t="shared" si="406"/>
        <v>C04D</v>
      </c>
      <c r="L1203" s="1" t="str">
        <f t="shared" si="388"/>
        <v>R</v>
      </c>
      <c r="M1203" s="1" t="str">
        <f t="shared" si="407"/>
        <v>T03</v>
      </c>
      <c r="N1203" s="1" t="str">
        <f t="shared" si="389"/>
        <v>Y</v>
      </c>
      <c r="O1203" s="1" t="str">
        <f t="shared" si="393"/>
        <v>Y</v>
      </c>
      <c r="P1203" s="1" t="str">
        <f t="shared" si="392"/>
        <v>Y</v>
      </c>
      <c r="Q1203" s="1" t="str">
        <f t="shared" si="400"/>
        <v>A</v>
      </c>
    </row>
    <row r="1204" spans="1:17" x14ac:dyDescent="0.3">
      <c r="A1204" s="1" t="str">
        <f t="shared" si="403"/>
        <v>D2</v>
      </c>
      <c r="B1204" s="1" t="str">
        <f>"M0009"</f>
        <v>M0009</v>
      </c>
      <c r="C1204" s="1" t="str">
        <f t="shared" si="408"/>
        <v>이상지질혈증</v>
      </c>
      <c r="D1204" s="1" t="str">
        <f>"혈중 중성지방산의 농도가 매우 높습니다. 중성지방산이 높으면 심혈관계질환의 발병위험도가 높습니다. 내과나 가정의학과에서 진료를 받으세요."</f>
        <v>혈중 중성지방산의 농도가 매우 높습니다. 중성지방산이 높으면 심혈관계질환의 발병위험도가 높습니다. 내과나 가정의학과에서 진료를 받으세요.</v>
      </c>
      <c r="E1204" s="1" t="str">
        <f t="shared" si="401"/>
        <v>WOK02</v>
      </c>
      <c r="F1204" s="1" t="str">
        <f t="shared" si="402"/>
        <v>PTM04</v>
      </c>
      <c r="G1204" s="1" t="str">
        <f t="shared" si="404"/>
        <v>DISE</v>
      </c>
      <c r="H1204" s="1" t="str">
        <f t="shared" si="405"/>
        <v>REL04</v>
      </c>
      <c r="I1204" s="1" t="str">
        <f>""</f>
        <v/>
      </c>
      <c r="J1204" s="1" t="str">
        <f t="shared" si="406"/>
        <v>C04D</v>
      </c>
      <c r="K1204" s="1" t="str">
        <f t="shared" si="406"/>
        <v>C04D</v>
      </c>
      <c r="L1204" s="1" t="str">
        <f t="shared" si="388"/>
        <v>R</v>
      </c>
      <c r="M1204" s="1" t="str">
        <f t="shared" si="407"/>
        <v>T03</v>
      </c>
      <c r="N1204" s="1" t="str">
        <f t="shared" si="389"/>
        <v>Y</v>
      </c>
      <c r="O1204" s="1" t="str">
        <f t="shared" si="393"/>
        <v>Y</v>
      </c>
      <c r="P1204" s="1" t="str">
        <f t="shared" si="392"/>
        <v>Y</v>
      </c>
      <c r="Q1204" s="1" t="str">
        <f t="shared" si="400"/>
        <v>A</v>
      </c>
    </row>
    <row r="1205" spans="1:17" x14ac:dyDescent="0.3">
      <c r="A1205" s="1" t="str">
        <f t="shared" si="403"/>
        <v>D2</v>
      </c>
      <c r="B1205" s="1" t="str">
        <f>"M0010"</f>
        <v>M0010</v>
      </c>
      <c r="C1205" s="1" t="str">
        <f t="shared" si="408"/>
        <v>이상지질혈증</v>
      </c>
      <c r="D1205" s="1" t="str">
        <f>"혈중 콜레스테롤 농도가 높습니다. 콜레스테롤이 높으면 심혈관계질환의 발병위험도가 높습니다. 내과나 가정의학과에서 진료를 받으세요."</f>
        <v>혈중 콜레스테롤 농도가 높습니다. 콜레스테롤이 높으면 심혈관계질환의 발병위험도가 높습니다. 내과나 가정의학과에서 진료를 받으세요.</v>
      </c>
      <c r="E1205" s="1" t="str">
        <f t="shared" si="401"/>
        <v>WOK02</v>
      </c>
      <c r="F1205" s="1" t="str">
        <f t="shared" si="402"/>
        <v>PTM04</v>
      </c>
      <c r="G1205" s="1" t="str">
        <f t="shared" si="404"/>
        <v>DISE</v>
      </c>
      <c r="H1205" s="1" t="str">
        <f t="shared" si="405"/>
        <v>REL04</v>
      </c>
      <c r="I1205" s="1" t="str">
        <f>""</f>
        <v/>
      </c>
      <c r="J1205" s="1" t="str">
        <f t="shared" si="406"/>
        <v>C04D</v>
      </c>
      <c r="K1205" s="1" t="str">
        <f t="shared" si="406"/>
        <v>C04D</v>
      </c>
      <c r="L1205" s="1" t="str">
        <f t="shared" si="388"/>
        <v>R</v>
      </c>
      <c r="M1205" s="1" t="str">
        <f t="shared" si="407"/>
        <v>T03</v>
      </c>
      <c r="N1205" s="1" t="str">
        <f t="shared" si="389"/>
        <v>Y</v>
      </c>
      <c r="O1205" s="1" t="str">
        <f t="shared" si="393"/>
        <v>Y</v>
      </c>
      <c r="P1205" s="1" t="str">
        <f t="shared" si="392"/>
        <v>Y</v>
      </c>
      <c r="Q1205" s="1" t="str">
        <f t="shared" si="400"/>
        <v>A</v>
      </c>
    </row>
    <row r="1206" spans="1:17" x14ac:dyDescent="0.3">
      <c r="A1206" s="1" t="str">
        <f t="shared" si="403"/>
        <v>D2</v>
      </c>
      <c r="B1206" s="1" t="str">
        <f>"M0011"</f>
        <v>M0011</v>
      </c>
      <c r="C1206" s="1" t="str">
        <f t="shared" si="408"/>
        <v>이상지질혈증</v>
      </c>
      <c r="D1206" s="1" t="str">
        <f>"혈중 콜레스테롤 농도가 높습니다. 콜레스테롤이 높으면 심혈관계질환의 발병위험도가 높습니다. 내과나 가정의학과에서 진료를 받으세요."</f>
        <v>혈중 콜레스테롤 농도가 높습니다. 콜레스테롤이 높으면 심혈관계질환의 발병위험도가 높습니다. 내과나 가정의학과에서 진료를 받으세요.</v>
      </c>
      <c r="E1206" s="1" t="str">
        <f t="shared" si="401"/>
        <v>WOK02</v>
      </c>
      <c r="F1206" s="1" t="str">
        <f t="shared" si="402"/>
        <v>PTM04</v>
      </c>
      <c r="G1206" s="1" t="str">
        <f t="shared" si="404"/>
        <v>DISE</v>
      </c>
      <c r="H1206" s="1" t="str">
        <f t="shared" si="405"/>
        <v>REL04</v>
      </c>
      <c r="I1206" s="1" t="str">
        <f>""</f>
        <v/>
      </c>
      <c r="J1206" s="1" t="str">
        <f t="shared" si="406"/>
        <v>C04D</v>
      </c>
      <c r="K1206" s="1" t="str">
        <f t="shared" si="406"/>
        <v>C04D</v>
      </c>
      <c r="L1206" s="1" t="str">
        <f t="shared" si="388"/>
        <v>R</v>
      </c>
      <c r="M1206" s="1" t="str">
        <f t="shared" si="407"/>
        <v>T03</v>
      </c>
      <c r="N1206" s="1" t="str">
        <f t="shared" si="389"/>
        <v>Y</v>
      </c>
      <c r="O1206" s="1" t="str">
        <f t="shared" si="393"/>
        <v>Y</v>
      </c>
      <c r="P1206" s="1" t="str">
        <f t="shared" si="392"/>
        <v>Y</v>
      </c>
      <c r="Q1206" s="1" t="str">
        <f t="shared" si="400"/>
        <v>A</v>
      </c>
    </row>
    <row r="1207" spans="1:17" x14ac:dyDescent="0.3">
      <c r="A1207" s="1" t="str">
        <f t="shared" si="403"/>
        <v>D2</v>
      </c>
      <c r="B1207" s="1" t="str">
        <f>"MSD401"</f>
        <v>MSD401</v>
      </c>
      <c r="C1207" s="1" t="str">
        <f>"근골격계질환"</f>
        <v>근골격계질환</v>
      </c>
      <c r="D1207" s="1" t="str">
        <f>"근골격계질환입니다. 치료를 요합니다."</f>
        <v>근골격계질환입니다. 치료를 요합니다.</v>
      </c>
      <c r="E1207" s="1" t="str">
        <f>"WOK03"</f>
        <v>WOK03</v>
      </c>
      <c r="F1207" s="1" t="str">
        <f t="shared" si="402"/>
        <v>PTM04</v>
      </c>
      <c r="G1207" s="1" t="str">
        <f>"DISM"</f>
        <v>DISM</v>
      </c>
      <c r="H1207" s="1" t="str">
        <f>"REL22"</f>
        <v>REL22</v>
      </c>
      <c r="I1207" s="1" t="str">
        <f>""</f>
        <v/>
      </c>
      <c r="J1207" s="1" t="str">
        <f>"C43D"</f>
        <v>C43D</v>
      </c>
      <c r="K1207" s="1" t="str">
        <f>"C43D"</f>
        <v>C43D</v>
      </c>
      <c r="L1207" s="1" t="str">
        <f t="shared" si="388"/>
        <v>R</v>
      </c>
      <c r="M1207" s="1" t="str">
        <f>""</f>
        <v/>
      </c>
      <c r="N1207" s="1" t="str">
        <f t="shared" si="389"/>
        <v>Y</v>
      </c>
      <c r="O1207" s="1" t="str">
        <f t="shared" si="393"/>
        <v>Y</v>
      </c>
      <c r="P1207" s="1" t="str">
        <f t="shared" si="392"/>
        <v>Y</v>
      </c>
      <c r="Q1207" s="1" t="str">
        <f t="shared" si="400"/>
        <v>A</v>
      </c>
    </row>
    <row r="1208" spans="1:17" x14ac:dyDescent="0.3">
      <c r="A1208" s="1" t="str">
        <f t="shared" si="403"/>
        <v>D2</v>
      </c>
      <c r="B1208" s="1" t="str">
        <f>"MSD402"</f>
        <v>MSD402</v>
      </c>
      <c r="C1208" s="1" t="str">
        <f>"근골격계질환"</f>
        <v>근골격계질환</v>
      </c>
      <c r="D1208" s="1" t="str">
        <f>"근골격계질환입니다. 치료를 요합니다."</f>
        <v>근골격계질환입니다. 치료를 요합니다.</v>
      </c>
      <c r="E1208" s="1" t="str">
        <f t="shared" ref="E1208:E1213" si="409">"WOK02"</f>
        <v>WOK02</v>
      </c>
      <c r="F1208" s="1" t="str">
        <f t="shared" si="402"/>
        <v>PTM04</v>
      </c>
      <c r="G1208" s="1" t="str">
        <f>"DISM"</f>
        <v>DISM</v>
      </c>
      <c r="H1208" s="1" t="str">
        <f>"REL22"</f>
        <v>REL22</v>
      </c>
      <c r="I1208" s="1" t="str">
        <f>""</f>
        <v/>
      </c>
      <c r="J1208" s="1" t="str">
        <f>"C43D"</f>
        <v>C43D</v>
      </c>
      <c r="K1208" s="1" t="str">
        <f>"C43D"</f>
        <v>C43D</v>
      </c>
      <c r="L1208" s="1" t="str">
        <f t="shared" si="388"/>
        <v>R</v>
      </c>
      <c r="M1208" s="1" t="str">
        <f>""</f>
        <v/>
      </c>
      <c r="N1208" s="1" t="str">
        <f t="shared" si="389"/>
        <v>Y</v>
      </c>
      <c r="O1208" s="1" t="str">
        <f t="shared" si="393"/>
        <v>Y</v>
      </c>
      <c r="P1208" s="1" t="str">
        <f t="shared" si="392"/>
        <v>Y</v>
      </c>
      <c r="Q1208" s="1" t="str">
        <f t="shared" si="400"/>
        <v>A</v>
      </c>
    </row>
    <row r="1209" spans="1:17" x14ac:dyDescent="0.3">
      <c r="A1209" s="1" t="str">
        <f t="shared" si="403"/>
        <v>D2</v>
      </c>
      <c r="B1209" s="1" t="str">
        <f>"NHL402B"</f>
        <v>NHL402B</v>
      </c>
      <c r="C1209" s="1" t="str">
        <f>"(좌측)전음성난청"</f>
        <v>(좌측)전음성난청</v>
      </c>
      <c r="D1209" s="1" t="str">
        <f>"과거 중이염 등으로 인한 난청(청력손실)이 관찰됩니다. 증상 발생시 이비인후과 진료를 받으시길 바랍니다."</f>
        <v>과거 중이염 등으로 인한 난청(청력손실)이 관찰됩니다. 증상 발생시 이비인후과 진료를 받으시길 바랍니다.</v>
      </c>
      <c r="E1209" s="1" t="str">
        <f t="shared" si="409"/>
        <v>WOK02</v>
      </c>
      <c r="F1209" s="1" t="str">
        <f t="shared" si="402"/>
        <v>PTM04</v>
      </c>
      <c r="G1209" s="1" t="str">
        <f>"DISH"</f>
        <v>DISH</v>
      </c>
      <c r="H1209" s="1" t="str">
        <f>"REL19"</f>
        <v>REL19</v>
      </c>
      <c r="I1209" s="1" t="str">
        <f>"01"</f>
        <v>01</v>
      </c>
      <c r="J1209" s="1" t="str">
        <f t="shared" ref="J1209:K1211" si="410">"C55D"</f>
        <v>C55D</v>
      </c>
      <c r="K1209" s="1" t="str">
        <f t="shared" si="410"/>
        <v>C55D</v>
      </c>
      <c r="L1209" s="1" t="str">
        <f t="shared" si="388"/>
        <v>R</v>
      </c>
      <c r="M1209" s="1" t="str">
        <f>"T10"</f>
        <v>T10</v>
      </c>
      <c r="N1209" s="1" t="str">
        <f t="shared" si="389"/>
        <v>Y</v>
      </c>
      <c r="O1209" s="1" t="str">
        <f>"N"</f>
        <v>N</v>
      </c>
      <c r="P1209" s="1" t="str">
        <f t="shared" si="392"/>
        <v>Y</v>
      </c>
      <c r="Q1209" s="1" t="str">
        <f>"L"</f>
        <v>L</v>
      </c>
    </row>
    <row r="1210" spans="1:17" x14ac:dyDescent="0.3">
      <c r="A1210" s="1" t="str">
        <f t="shared" si="403"/>
        <v>D2</v>
      </c>
      <c r="B1210" s="1" t="str">
        <f>"NHL411"</f>
        <v>NHL411</v>
      </c>
      <c r="C1210" s="1" t="str">
        <f>"(좌측)혼합성난청 질환"</f>
        <v>(좌측)혼합성난청 질환</v>
      </c>
      <c r="D1210" s="1" t="str">
        <f>"좌측 귀의 기존 이질환으로 인하여 청력저하 있는 분으로 지속적인 관리 및 추적관찰 바랍니다."</f>
        <v>좌측 귀의 기존 이질환으로 인하여 청력저하 있는 분으로 지속적인 관리 및 추적관찰 바랍니다.</v>
      </c>
      <c r="E1210" s="1" t="str">
        <f t="shared" si="409"/>
        <v>WOK02</v>
      </c>
      <c r="F1210" s="1" t="str">
        <f>"PTM03"</f>
        <v>PTM03</v>
      </c>
      <c r="G1210" s="1" t="str">
        <f>"DISH"</f>
        <v>DISH</v>
      </c>
      <c r="H1210" s="1" t="str">
        <f>"REL19"</f>
        <v>REL19</v>
      </c>
      <c r="I1210" s="1" t="str">
        <f>"01"</f>
        <v>01</v>
      </c>
      <c r="J1210" s="1" t="str">
        <f t="shared" si="410"/>
        <v>C55D</v>
      </c>
      <c r="K1210" s="1" t="str">
        <f t="shared" si="410"/>
        <v>C55D</v>
      </c>
      <c r="L1210" s="1" t="str">
        <f t="shared" si="388"/>
        <v>R</v>
      </c>
      <c r="M1210" s="1" t="str">
        <f>"T10"</f>
        <v>T10</v>
      </c>
      <c r="N1210" s="1" t="str">
        <f t="shared" si="389"/>
        <v>Y</v>
      </c>
      <c r="O1210" s="1" t="str">
        <f t="shared" ref="O1210:O1273" si="411">"Y"</f>
        <v>Y</v>
      </c>
      <c r="P1210" s="1" t="str">
        <f t="shared" si="392"/>
        <v>Y</v>
      </c>
      <c r="Q1210" s="1" t="str">
        <f>"L"</f>
        <v>L</v>
      </c>
    </row>
    <row r="1211" spans="1:17" x14ac:dyDescent="0.3">
      <c r="A1211" s="1" t="str">
        <f t="shared" si="403"/>
        <v>D2</v>
      </c>
      <c r="B1211" s="1" t="str">
        <f>"NHL411R"</f>
        <v>NHL411R</v>
      </c>
      <c r="C1211" s="1" t="str">
        <f>"(우측)혼합성난청 질환"</f>
        <v>(우측)혼합성난청 질환</v>
      </c>
      <c r="D1211" s="1" t="str">
        <f>"우측 귀의 기존 이질환으로 인하여 청력저하 있는 분으로 지속적인 관리 및 추적관찰 바랍니다."</f>
        <v>우측 귀의 기존 이질환으로 인하여 청력저하 있는 분으로 지속적인 관리 및 추적관찰 바랍니다.</v>
      </c>
      <c r="E1211" s="1" t="str">
        <f t="shared" si="409"/>
        <v>WOK02</v>
      </c>
      <c r="F1211" s="1" t="str">
        <f>"PTM03"</f>
        <v>PTM03</v>
      </c>
      <c r="G1211" s="1" t="str">
        <f>"DISH"</f>
        <v>DISH</v>
      </c>
      <c r="H1211" s="1" t="str">
        <f>"REL19"</f>
        <v>REL19</v>
      </c>
      <c r="I1211" s="1" t="str">
        <f>"01"</f>
        <v>01</v>
      </c>
      <c r="J1211" s="1" t="str">
        <f t="shared" si="410"/>
        <v>C55D</v>
      </c>
      <c r="K1211" s="1" t="str">
        <f t="shared" si="410"/>
        <v>C55D</v>
      </c>
      <c r="L1211" s="1" t="str">
        <f t="shared" si="388"/>
        <v>R</v>
      </c>
      <c r="M1211" s="1" t="str">
        <f>"T10"</f>
        <v>T10</v>
      </c>
      <c r="N1211" s="1" t="str">
        <f t="shared" si="389"/>
        <v>Y</v>
      </c>
      <c r="O1211" s="1" t="str">
        <f t="shared" si="411"/>
        <v>Y</v>
      </c>
      <c r="P1211" s="1" t="str">
        <f t="shared" si="392"/>
        <v>Y</v>
      </c>
      <c r="Q1211" s="1" t="str">
        <f>"R"</f>
        <v>R</v>
      </c>
    </row>
    <row r="1212" spans="1:17" x14ac:dyDescent="0.3">
      <c r="A1212" s="1" t="str">
        <f t="shared" si="403"/>
        <v>D2</v>
      </c>
      <c r="B1212" s="1" t="str">
        <f>"NLIPLTD2"</f>
        <v>NLIPLTD2</v>
      </c>
      <c r="C1212" s="1" t="str">
        <f>"이상지질혈증 치료중"</f>
        <v>이상지질혈증 치료중</v>
      </c>
      <c r="D1212" s="1" t="str">
        <f>"이상지질혈증에 대한 지속적인 관리 필요합니다."</f>
        <v>이상지질혈증에 대한 지속적인 관리 필요합니다.</v>
      </c>
      <c r="E1212" s="1" t="str">
        <f t="shared" si="409"/>
        <v>WOK02</v>
      </c>
      <c r="F1212" s="1" t="str">
        <f>"PTM04"</f>
        <v>PTM04</v>
      </c>
      <c r="G1212" s="1" t="str">
        <f>"DISE"</f>
        <v>DISE</v>
      </c>
      <c r="H1212" s="1" t="str">
        <f>"REL04"</f>
        <v>REL04</v>
      </c>
      <c r="I1212" s="1" t="str">
        <f>""</f>
        <v/>
      </c>
      <c r="J1212" s="1" t="str">
        <f>"C04D"</f>
        <v>C04D</v>
      </c>
      <c r="K1212" s="1" t="str">
        <f>"C04D"</f>
        <v>C04D</v>
      </c>
      <c r="L1212" s="1" t="str">
        <f t="shared" si="388"/>
        <v>R</v>
      </c>
      <c r="M1212" s="1" t="str">
        <f>"T03"</f>
        <v>T03</v>
      </c>
      <c r="N1212" s="1" t="str">
        <f t="shared" si="389"/>
        <v>Y</v>
      </c>
      <c r="O1212" s="1" t="str">
        <f t="shared" si="411"/>
        <v>Y</v>
      </c>
      <c r="P1212" s="1" t="str">
        <f t="shared" si="392"/>
        <v>Y</v>
      </c>
      <c r="Q1212" s="1" t="str">
        <f t="shared" ref="Q1212:Q1275" si="412">"A"</f>
        <v>A</v>
      </c>
    </row>
    <row r="1213" spans="1:17" x14ac:dyDescent="0.3">
      <c r="A1213" s="1" t="str">
        <f t="shared" si="403"/>
        <v>D2</v>
      </c>
      <c r="B1213" s="1" t="str">
        <f>"NPP"</f>
        <v>NPP</v>
      </c>
      <c r="C1213" s="1" t="str">
        <f>"신장질환(단백뇨)"</f>
        <v>신장질환(단백뇨)</v>
      </c>
      <c r="D1213" s="1" t="str">
        <f>"몸이 붓거나 피로감이 심해질 경우 신장기능에 대한 추적검사 및 의사상담을 받으세요"</f>
        <v>몸이 붓거나 피로감이 심해질 경우 신장기능에 대한 추적검사 및 의사상담을 받으세요</v>
      </c>
      <c r="E1213" s="1" t="str">
        <f t="shared" si="409"/>
        <v>WOK02</v>
      </c>
      <c r="F1213" s="1" t="str">
        <f>"PTM04"</f>
        <v>PTM04</v>
      </c>
      <c r="G1213" s="1" t="str">
        <f>"DISN"</f>
        <v>DISN</v>
      </c>
      <c r="H1213" s="1" t="str">
        <f>"REL08"</f>
        <v>REL08</v>
      </c>
      <c r="I1213" s="1" t="str">
        <f>""</f>
        <v/>
      </c>
      <c r="J1213" s="1" t="str">
        <f>"C07D"</f>
        <v>C07D</v>
      </c>
      <c r="K1213" s="1" t="str">
        <f>"C07D"</f>
        <v>C07D</v>
      </c>
      <c r="L1213" s="1" t="str">
        <f t="shared" si="388"/>
        <v>R</v>
      </c>
      <c r="M1213" s="1" t="str">
        <f>"T05"</f>
        <v>T05</v>
      </c>
      <c r="N1213" s="1" t="str">
        <f t="shared" si="389"/>
        <v>Y</v>
      </c>
      <c r="O1213" s="1" t="str">
        <f t="shared" si="411"/>
        <v>Y</v>
      </c>
      <c r="P1213" s="1" t="str">
        <f t="shared" si="392"/>
        <v>Y</v>
      </c>
      <c r="Q1213" s="1" t="str">
        <f t="shared" si="412"/>
        <v>A</v>
      </c>
    </row>
    <row r="1214" spans="1:17" x14ac:dyDescent="0.3">
      <c r="A1214" s="1" t="str">
        <f t="shared" si="403"/>
        <v>D2</v>
      </c>
      <c r="B1214" s="1" t="str">
        <f>"NPP401"</f>
        <v>NPP401</v>
      </c>
      <c r="C1214" s="1" t="str">
        <f>"신장질환"</f>
        <v>신장질환</v>
      </c>
      <c r="D1214" s="1" t="str">
        <f>"신장기능이 떨어져 있습니다. 정밀검사 및 치료를 위해 내원하세요."</f>
        <v>신장기능이 떨어져 있습니다. 정밀검사 및 치료를 위해 내원하세요.</v>
      </c>
      <c r="E1214" s="1" t="str">
        <f>""</f>
        <v/>
      </c>
      <c r="F1214" s="1" t="str">
        <f>""</f>
        <v/>
      </c>
      <c r="G1214" s="1" t="str">
        <f>""</f>
        <v/>
      </c>
      <c r="H1214" s="1" t="str">
        <f>""</f>
        <v/>
      </c>
      <c r="I1214" s="1" t="str">
        <f>""</f>
        <v/>
      </c>
      <c r="J1214" s="1" t="str">
        <f>""</f>
        <v/>
      </c>
      <c r="K1214" s="1" t="str">
        <f>""</f>
        <v/>
      </c>
      <c r="L1214" s="1" t="str">
        <f t="shared" si="388"/>
        <v>R</v>
      </c>
      <c r="M1214" s="1" t="str">
        <f>""</f>
        <v/>
      </c>
      <c r="N1214" s="1" t="str">
        <f t="shared" si="389"/>
        <v>Y</v>
      </c>
      <c r="O1214" s="1" t="str">
        <f t="shared" si="411"/>
        <v>Y</v>
      </c>
      <c r="P1214" s="1" t="str">
        <f t="shared" si="392"/>
        <v>Y</v>
      </c>
      <c r="Q1214" s="1" t="str">
        <f t="shared" si="412"/>
        <v>A</v>
      </c>
    </row>
    <row r="1215" spans="1:17" x14ac:dyDescent="0.3">
      <c r="A1215" s="1" t="str">
        <f t="shared" si="403"/>
        <v>D2</v>
      </c>
      <c r="B1215" s="1" t="str">
        <f>"NPPLT5"</f>
        <v>NPPLT5</v>
      </c>
      <c r="C1215" s="1" t="str">
        <f>"신장질환"</f>
        <v>신장질환</v>
      </c>
      <c r="D1215" s="1" t="str">
        <f>"신장기능이 떨어져 있습니다. 정밀검사 및 치료를 위해 내원하세요."</f>
        <v>신장기능이 떨어져 있습니다. 정밀검사 및 치료를 위해 내원하세요.</v>
      </c>
      <c r="E1215" s="1" t="str">
        <f>"WOK02"</f>
        <v>WOK02</v>
      </c>
      <c r="F1215" s="1" t="str">
        <f t="shared" ref="F1215:F1220" si="413">"PTM04"</f>
        <v>PTM04</v>
      </c>
      <c r="G1215" s="1" t="str">
        <f>"DISN"</f>
        <v>DISN</v>
      </c>
      <c r="H1215" s="1" t="str">
        <f>"REL08"</f>
        <v>REL08</v>
      </c>
      <c r="I1215" s="1" t="str">
        <f>""</f>
        <v/>
      </c>
      <c r="J1215" s="1" t="str">
        <f>"C07D"</f>
        <v>C07D</v>
      </c>
      <c r="K1215" s="1" t="str">
        <f>"C07D"</f>
        <v>C07D</v>
      </c>
      <c r="L1215" s="1" t="str">
        <f t="shared" si="388"/>
        <v>R</v>
      </c>
      <c r="M1215" s="1" t="str">
        <f>"T05"</f>
        <v>T05</v>
      </c>
      <c r="N1215" s="1" t="str">
        <f t="shared" si="389"/>
        <v>Y</v>
      </c>
      <c r="O1215" s="1" t="str">
        <f t="shared" si="411"/>
        <v>Y</v>
      </c>
      <c r="P1215" s="1" t="str">
        <f t="shared" si="392"/>
        <v>Y</v>
      </c>
      <c r="Q1215" s="1" t="str">
        <f t="shared" si="412"/>
        <v>A</v>
      </c>
    </row>
    <row r="1216" spans="1:17" x14ac:dyDescent="0.3">
      <c r="A1216" s="1" t="str">
        <f t="shared" si="403"/>
        <v>D2</v>
      </c>
      <c r="B1216" s="1" t="str">
        <f>"NRM401"</f>
        <v>NRM401</v>
      </c>
      <c r="C1216" s="1" t="str">
        <f>"말초신경염"</f>
        <v>말초신경염</v>
      </c>
      <c r="D1216" s="1" t="str">
        <f>"직업적 요인이나 개인질환으로 인해 발생할 수 있습니다. 정확한 진단과 원인파악을 위한 산업의학과나 신경과 검사가 필요합니다."</f>
        <v>직업적 요인이나 개인질환으로 인해 발생할 수 있습니다. 정확한 진단과 원인파악을 위한 산업의학과나 신경과 검사가 필요합니다.</v>
      </c>
      <c r="E1216" s="1" t="str">
        <f>"WOK03"</f>
        <v>WOK03</v>
      </c>
      <c r="F1216" s="1" t="str">
        <f t="shared" si="413"/>
        <v>PTM04</v>
      </c>
      <c r="G1216" s="1" t="str">
        <f>"DISG"</f>
        <v>DISG</v>
      </c>
      <c r="H1216" s="1" t="str">
        <f>"REL21"</f>
        <v>REL21</v>
      </c>
      <c r="I1216" s="1" t="str">
        <f>""</f>
        <v/>
      </c>
      <c r="J1216" s="1" t="str">
        <f>"C37D"</f>
        <v>C37D</v>
      </c>
      <c r="K1216" s="1" t="str">
        <f>"C37D"</f>
        <v>C37D</v>
      </c>
      <c r="L1216" s="1" t="str">
        <f t="shared" si="388"/>
        <v>R</v>
      </c>
      <c r="M1216" s="1" t="str">
        <f>"T06"</f>
        <v>T06</v>
      </c>
      <c r="N1216" s="1" t="str">
        <f t="shared" si="389"/>
        <v>Y</v>
      </c>
      <c r="O1216" s="1" t="str">
        <f t="shared" si="411"/>
        <v>Y</v>
      </c>
      <c r="P1216" s="1" t="str">
        <f t="shared" si="392"/>
        <v>Y</v>
      </c>
      <c r="Q1216" s="1" t="str">
        <f t="shared" si="412"/>
        <v>A</v>
      </c>
    </row>
    <row r="1217" spans="1:17" x14ac:dyDescent="0.3">
      <c r="A1217" s="1" t="str">
        <f t="shared" si="403"/>
        <v>D2</v>
      </c>
      <c r="B1217" s="1" t="str">
        <f>"PFT302"</f>
        <v>PFT302</v>
      </c>
      <c r="C1217" s="1" t="str">
        <f>"폐쇄성 폐질환"</f>
        <v>폐쇄성 폐질환</v>
      </c>
      <c r="D1217" s="1" t="s">
        <v>369</v>
      </c>
      <c r="E1217" s="1" t="str">
        <f>"WOK02"</f>
        <v>WOK02</v>
      </c>
      <c r="F1217" s="1" t="str">
        <f t="shared" si="413"/>
        <v>PTM04</v>
      </c>
      <c r="G1217" s="1" t="str">
        <f>"DISJ"</f>
        <v>DISJ</v>
      </c>
      <c r="H1217" s="1" t="str">
        <f>"REL15"</f>
        <v>REL15</v>
      </c>
      <c r="I1217" s="1" t="str">
        <f>""</f>
        <v/>
      </c>
      <c r="J1217" s="1" t="str">
        <f t="shared" ref="J1217:K1219" si="414">"C40D"</f>
        <v>C40D</v>
      </c>
      <c r="K1217" s="1" t="str">
        <f t="shared" si="414"/>
        <v>C40D</v>
      </c>
      <c r="L1217" s="1" t="str">
        <f t="shared" si="388"/>
        <v>R</v>
      </c>
      <c r="M1217" s="1" t="str">
        <f>"T04"</f>
        <v>T04</v>
      </c>
      <c r="N1217" s="1" t="str">
        <f t="shared" si="389"/>
        <v>Y</v>
      </c>
      <c r="O1217" s="1" t="str">
        <f t="shared" si="411"/>
        <v>Y</v>
      </c>
      <c r="P1217" s="1" t="str">
        <f t="shared" si="392"/>
        <v>Y</v>
      </c>
      <c r="Q1217" s="1" t="str">
        <f t="shared" si="412"/>
        <v>A</v>
      </c>
    </row>
    <row r="1218" spans="1:17" x14ac:dyDescent="0.3">
      <c r="A1218" s="1" t="str">
        <f t="shared" si="403"/>
        <v>D2</v>
      </c>
      <c r="B1218" s="1" t="str">
        <f>"PFT312"</f>
        <v>PFT312</v>
      </c>
      <c r="C1218" s="1" t="str">
        <f>"제한성 폐질환"</f>
        <v>제한성 폐질환</v>
      </c>
      <c r="D1218" s="1" t="s">
        <v>370</v>
      </c>
      <c r="E1218" s="1" t="str">
        <f>"WOK02"</f>
        <v>WOK02</v>
      </c>
      <c r="F1218" s="1" t="str">
        <f t="shared" si="413"/>
        <v>PTM04</v>
      </c>
      <c r="G1218" s="1" t="str">
        <f>"DISJ"</f>
        <v>DISJ</v>
      </c>
      <c r="H1218" s="1" t="str">
        <f>"REL15"</f>
        <v>REL15</v>
      </c>
      <c r="I1218" s="1" t="str">
        <f>""</f>
        <v/>
      </c>
      <c r="J1218" s="1" t="str">
        <f t="shared" si="414"/>
        <v>C40D</v>
      </c>
      <c r="K1218" s="1" t="str">
        <f t="shared" si="414"/>
        <v>C40D</v>
      </c>
      <c r="L1218" s="1" t="str">
        <f t="shared" si="388"/>
        <v>R</v>
      </c>
      <c r="M1218" s="1" t="str">
        <f>"T04"</f>
        <v>T04</v>
      </c>
      <c r="N1218" s="1" t="str">
        <f t="shared" si="389"/>
        <v>Y</v>
      </c>
      <c r="O1218" s="1" t="str">
        <f t="shared" si="411"/>
        <v>Y</v>
      </c>
      <c r="P1218" s="1" t="str">
        <f t="shared" si="392"/>
        <v>Y</v>
      </c>
      <c r="Q1218" s="1" t="str">
        <f t="shared" si="412"/>
        <v>A</v>
      </c>
    </row>
    <row r="1219" spans="1:17" x14ac:dyDescent="0.3">
      <c r="A1219" s="1" t="str">
        <f t="shared" si="403"/>
        <v>D2</v>
      </c>
      <c r="B1219" s="1" t="str">
        <f>"PFT322"</f>
        <v>PFT322</v>
      </c>
      <c r="C1219" s="1" t="str">
        <f>"혼합성 폐질환"</f>
        <v>혼합성 폐질환</v>
      </c>
      <c r="D1219" s="1" t="s">
        <v>371</v>
      </c>
      <c r="E1219" s="1" t="str">
        <f>"WOK02"</f>
        <v>WOK02</v>
      </c>
      <c r="F1219" s="1" t="str">
        <f t="shared" si="413"/>
        <v>PTM04</v>
      </c>
      <c r="G1219" s="1" t="str">
        <f>"DISJ"</f>
        <v>DISJ</v>
      </c>
      <c r="H1219" s="1" t="str">
        <f>"REL15"</f>
        <v>REL15</v>
      </c>
      <c r="I1219" s="1" t="str">
        <f>""</f>
        <v/>
      </c>
      <c r="J1219" s="1" t="str">
        <f t="shared" si="414"/>
        <v>C40D</v>
      </c>
      <c r="K1219" s="1" t="str">
        <f t="shared" si="414"/>
        <v>C40D</v>
      </c>
      <c r="L1219" s="1" t="str">
        <f t="shared" si="388"/>
        <v>R</v>
      </c>
      <c r="M1219" s="1" t="str">
        <f>"T04"</f>
        <v>T04</v>
      </c>
      <c r="N1219" s="1" t="str">
        <f t="shared" si="389"/>
        <v>Y</v>
      </c>
      <c r="O1219" s="1" t="str">
        <f t="shared" si="411"/>
        <v>Y</v>
      </c>
      <c r="P1219" s="1" t="str">
        <f t="shared" si="392"/>
        <v>Y</v>
      </c>
      <c r="Q1219" s="1" t="str">
        <f t="shared" si="412"/>
        <v>A</v>
      </c>
    </row>
    <row r="1220" spans="1:17" x14ac:dyDescent="0.3">
      <c r="A1220" s="1" t="str">
        <f t="shared" si="403"/>
        <v>D2</v>
      </c>
      <c r="B1220" s="1" t="str">
        <f>"PLT401"</f>
        <v>PLT401</v>
      </c>
      <c r="C1220" s="1" t="str">
        <f>"혈소판 감소증"</f>
        <v>혈소판 감소증</v>
      </c>
      <c r="D1220" s="1" t="str">
        <f>"혈소판의 수치가 정상범위 보다 낮습니다. 정확한 진단을 위해 혈액내과 진료를 받으세요."</f>
        <v>혈소판의 수치가 정상범위 보다 낮습니다. 정확한 진단을 위해 혈액내과 진료를 받으세요.</v>
      </c>
      <c r="E1220" s="1" t="str">
        <f>"WOK02"</f>
        <v>WOK02</v>
      </c>
      <c r="F1220" s="1" t="str">
        <f t="shared" si="413"/>
        <v>PTM04</v>
      </c>
      <c r="G1220" s="1" t="str">
        <f>"DISD"</f>
        <v>DISD</v>
      </c>
      <c r="H1220" s="1" t="str">
        <f>"REL12"</f>
        <v>REL12</v>
      </c>
      <c r="I1220" s="1" t="str">
        <f>""</f>
        <v/>
      </c>
      <c r="J1220" s="1" t="str">
        <f>"C34D"</f>
        <v>C34D</v>
      </c>
      <c r="K1220" s="1" t="str">
        <f>"C34D"</f>
        <v>C34D</v>
      </c>
      <c r="L1220" s="1" t="str">
        <f t="shared" si="388"/>
        <v>R</v>
      </c>
      <c r="M1220" s="1" t="str">
        <f>"T01"</f>
        <v>T01</v>
      </c>
      <c r="N1220" s="1" t="str">
        <f t="shared" si="389"/>
        <v>Y</v>
      </c>
      <c r="O1220" s="1" t="str">
        <f t="shared" si="411"/>
        <v>Y</v>
      </c>
      <c r="P1220" s="1" t="str">
        <f t="shared" si="392"/>
        <v>Y</v>
      </c>
      <c r="Q1220" s="1" t="str">
        <f t="shared" si="412"/>
        <v>A</v>
      </c>
    </row>
    <row r="1221" spans="1:17" x14ac:dyDescent="0.3">
      <c r="A1221" s="1" t="str">
        <f t="shared" si="403"/>
        <v>D2</v>
      </c>
      <c r="B1221" s="1" t="str">
        <f>"PLT402"</f>
        <v>PLT402</v>
      </c>
      <c r="C1221" s="1" t="str">
        <f>"혈소판증가증"</f>
        <v>혈소판증가증</v>
      </c>
      <c r="D1221" s="1" t="str">
        <f>"혈소판의 수치가 정상범위보다 높습니다. 정밀진단이 필요하므로 내원하여 검사를 받으세요."</f>
        <v>혈소판의 수치가 정상범위보다 높습니다. 정밀진단이 필요하므로 내원하여 검사를 받으세요.</v>
      </c>
      <c r="E1221" s="1" t="str">
        <f>"WOK02"</f>
        <v>WOK02</v>
      </c>
      <c r="F1221" s="1" t="str">
        <f>"PTM01"</f>
        <v>PTM01</v>
      </c>
      <c r="G1221" s="1" t="str">
        <f>"DISD"</f>
        <v>DISD</v>
      </c>
      <c r="H1221" s="1" t="str">
        <f>"REL12"</f>
        <v>REL12</v>
      </c>
      <c r="I1221" s="1" t="str">
        <f>""</f>
        <v/>
      </c>
      <c r="J1221" s="1" t="str">
        <f>"C34D"</f>
        <v>C34D</v>
      </c>
      <c r="K1221" s="1" t="str">
        <f>"C34D"</f>
        <v>C34D</v>
      </c>
      <c r="L1221" s="1" t="str">
        <f t="shared" ref="L1221:L1284" si="415">"R"</f>
        <v>R</v>
      </c>
      <c r="M1221" s="1" t="str">
        <f>"T01"</f>
        <v>T01</v>
      </c>
      <c r="N1221" s="1" t="str">
        <f t="shared" ref="N1221:N1284" si="416">"Y"</f>
        <v>Y</v>
      </c>
      <c r="O1221" s="1" t="str">
        <f t="shared" si="411"/>
        <v>Y</v>
      </c>
      <c r="P1221" s="1" t="str">
        <f t="shared" si="392"/>
        <v>Y</v>
      </c>
      <c r="Q1221" s="1" t="str">
        <f t="shared" si="412"/>
        <v>A</v>
      </c>
    </row>
    <row r="1222" spans="1:17" x14ac:dyDescent="0.3">
      <c r="A1222" s="1" t="str">
        <f t="shared" si="403"/>
        <v>D2</v>
      </c>
      <c r="B1222" s="1" t="str">
        <f>"PRE0081"</f>
        <v>PRE0081</v>
      </c>
      <c r="C1222" s="1" t="str">
        <f>"배치 부적절 (야간작업)"</f>
        <v>배치 부적절 (야간작업)</v>
      </c>
      <c r="D1222" s="1" t="str">
        <f>"야간 작업은 심혈관계 질환에 영향을 미칠수 있는데 현재 혈중 콜레스테롤이 매우 높아 야간작업을 하는 것이 부적절합니다. 일단 고지혈증을 치료 후 재 판정을 받아야 합니다."</f>
        <v>야간 작업은 심혈관계 질환에 영향을 미칠수 있는데 현재 혈중 콜레스테롤이 매우 높아 야간작업을 하는 것이 부적절합니다. 일단 고지혈증을 치료 후 재 판정을 받아야 합니다.</v>
      </c>
      <c r="E1222" s="1" t="str">
        <f>"WOK03"</f>
        <v>WOK03</v>
      </c>
      <c r="F1222" s="1" t="str">
        <f>"PTM01"</f>
        <v>PTM01</v>
      </c>
      <c r="G1222" s="1" t="str">
        <f>"DIS600"</f>
        <v>DIS600</v>
      </c>
      <c r="H1222" s="1" t="str">
        <f>"REL06"</f>
        <v>REL06</v>
      </c>
      <c r="I1222" s="1" t="str">
        <f>"P0601"</f>
        <v>P0601</v>
      </c>
      <c r="J1222" s="1" t="str">
        <f>"N01C"</f>
        <v>N01C</v>
      </c>
      <c r="K1222" s="1" t="str">
        <f>"N01C"</f>
        <v>N01C</v>
      </c>
      <c r="L1222" s="1" t="str">
        <f t="shared" si="415"/>
        <v>R</v>
      </c>
      <c r="M1222" s="1" t="str">
        <f>"T031"</f>
        <v>T031</v>
      </c>
      <c r="N1222" s="1" t="str">
        <f t="shared" si="416"/>
        <v>Y</v>
      </c>
      <c r="O1222" s="1" t="str">
        <f t="shared" si="411"/>
        <v>Y</v>
      </c>
      <c r="P1222" s="1" t="str">
        <f t="shared" si="392"/>
        <v>Y</v>
      </c>
      <c r="Q1222" s="1" t="str">
        <f t="shared" si="412"/>
        <v>A</v>
      </c>
    </row>
    <row r="1223" spans="1:17" x14ac:dyDescent="0.3">
      <c r="A1223" s="1" t="str">
        <f t="shared" si="403"/>
        <v>D2</v>
      </c>
      <c r="B1223" s="1" t="str">
        <f>"PRE013"</f>
        <v>PRE013</v>
      </c>
      <c r="C1223" s="1" t="str">
        <f>"배치가능 (소음)"</f>
        <v>배치가능 (소음)</v>
      </c>
      <c r="D1223" s="1" t="s">
        <v>372</v>
      </c>
      <c r="E1223" s="1" t="str">
        <f t="shared" ref="E1223:E1233" si="417">"WOK02"</f>
        <v>WOK02</v>
      </c>
      <c r="F1223" s="1" t="str">
        <f>"PTM02"</f>
        <v>PTM02</v>
      </c>
      <c r="G1223" s="1" t="str">
        <f>"DISH"</f>
        <v>DISH</v>
      </c>
      <c r="H1223" s="1" t="str">
        <f>"REL19"</f>
        <v>REL19</v>
      </c>
      <c r="I1223" s="1" t="str">
        <f>"01"</f>
        <v>01</v>
      </c>
      <c r="J1223" s="1" t="str">
        <f>"C55D"</f>
        <v>C55D</v>
      </c>
      <c r="K1223" s="1" t="str">
        <f>"C55D"</f>
        <v>C55D</v>
      </c>
      <c r="L1223" s="1" t="str">
        <f t="shared" si="415"/>
        <v>R</v>
      </c>
      <c r="M1223" s="1" t="str">
        <f>"T10"</f>
        <v>T10</v>
      </c>
      <c r="N1223" s="1" t="str">
        <f t="shared" si="416"/>
        <v>Y</v>
      </c>
      <c r="O1223" s="1" t="str">
        <f t="shared" si="411"/>
        <v>Y</v>
      </c>
      <c r="P1223" s="1" t="str">
        <f t="shared" si="392"/>
        <v>Y</v>
      </c>
      <c r="Q1223" s="1" t="str">
        <f t="shared" si="412"/>
        <v>A</v>
      </c>
    </row>
    <row r="1224" spans="1:17" x14ac:dyDescent="0.3">
      <c r="A1224" s="1" t="str">
        <f t="shared" si="403"/>
        <v>D2</v>
      </c>
      <c r="B1224" s="1" t="str">
        <f>"PUL311"</f>
        <v>PUL311</v>
      </c>
      <c r="C1224" s="1" t="str">
        <f>"폐종양의심"</f>
        <v>폐종양의심</v>
      </c>
      <c r="D1224" s="1" t="str">
        <f>"흉부 방사선 검사 상 폐종양이 의심됩니다. 폐질환에 대한 진단을 위해 호흡기내과 진료를 요합니다."</f>
        <v>흉부 방사선 검사 상 폐종양이 의심됩니다. 폐질환에 대한 진단을 위해 호흡기내과 진료를 요합니다.</v>
      </c>
      <c r="E1224" s="1" t="str">
        <f t="shared" si="417"/>
        <v>WOK02</v>
      </c>
      <c r="F1224" s="1" t="str">
        <f t="shared" ref="F1224:F1229" si="418">"PTM04"</f>
        <v>PTM04</v>
      </c>
      <c r="G1224" s="1" t="str">
        <f t="shared" ref="G1224:G1229" si="419">"DISJ"</f>
        <v>DISJ</v>
      </c>
      <c r="H1224" s="1" t="str">
        <f t="shared" ref="H1224:H1229" si="420">"REL02"</f>
        <v>REL02</v>
      </c>
      <c r="I1224" s="1" t="str">
        <f>""</f>
        <v/>
      </c>
      <c r="J1224" s="1" t="str">
        <f>"C40C"</f>
        <v>C40C</v>
      </c>
      <c r="K1224" s="1" t="str">
        <f>"C40C"</f>
        <v>C40C</v>
      </c>
      <c r="L1224" s="1" t="str">
        <f t="shared" si="415"/>
        <v>R</v>
      </c>
      <c r="M1224" s="1" t="str">
        <f t="shared" ref="M1224:M1229" si="421">"T04"</f>
        <v>T04</v>
      </c>
      <c r="N1224" s="1" t="str">
        <f t="shared" si="416"/>
        <v>Y</v>
      </c>
      <c r="O1224" s="1" t="str">
        <f t="shared" si="411"/>
        <v>Y</v>
      </c>
      <c r="P1224" s="1" t="str">
        <f t="shared" si="392"/>
        <v>Y</v>
      </c>
      <c r="Q1224" s="1" t="str">
        <f t="shared" si="412"/>
        <v>A</v>
      </c>
    </row>
    <row r="1225" spans="1:17" x14ac:dyDescent="0.3">
      <c r="A1225" s="1" t="str">
        <f t="shared" si="403"/>
        <v>D2</v>
      </c>
      <c r="B1225" s="1" t="str">
        <f>"PUL311H"</f>
        <v>PUL311H</v>
      </c>
      <c r="C1225" s="1" t="str">
        <f>"폐종양의심"</f>
        <v>폐종양의심</v>
      </c>
      <c r="D1225" s="1" t="str">
        <f>"흉부 방사선 검사 상 폐종양이 의심됩니다. 폐질환에 대한 진단을 위해 호흡기내과 진료를 요합니다."</f>
        <v>흉부 방사선 검사 상 폐종양이 의심됩니다. 폐질환에 대한 진단을 위해 호흡기내과 진료를 요합니다.</v>
      </c>
      <c r="E1225" s="1" t="str">
        <f t="shared" si="417"/>
        <v>WOK02</v>
      </c>
      <c r="F1225" s="1" t="str">
        <f t="shared" si="418"/>
        <v>PTM04</v>
      </c>
      <c r="G1225" s="1" t="str">
        <f t="shared" si="419"/>
        <v>DISJ</v>
      </c>
      <c r="H1225" s="1" t="str">
        <f t="shared" si="420"/>
        <v>REL02</v>
      </c>
      <c r="I1225" s="1" t="str">
        <f>""</f>
        <v/>
      </c>
      <c r="J1225" s="1" t="str">
        <f>"C40C"</f>
        <v>C40C</v>
      </c>
      <c r="K1225" s="1" t="str">
        <f>"C40C"</f>
        <v>C40C</v>
      </c>
      <c r="L1225" s="1" t="str">
        <f t="shared" si="415"/>
        <v>R</v>
      </c>
      <c r="M1225" s="1" t="str">
        <f t="shared" si="421"/>
        <v>T04</v>
      </c>
      <c r="N1225" s="1" t="str">
        <f t="shared" si="416"/>
        <v>Y</v>
      </c>
      <c r="O1225" s="1" t="str">
        <f t="shared" si="411"/>
        <v>Y</v>
      </c>
      <c r="P1225" s="1" t="str">
        <f t="shared" si="392"/>
        <v>Y</v>
      </c>
      <c r="Q1225" s="1" t="str">
        <f t="shared" si="412"/>
        <v>A</v>
      </c>
    </row>
    <row r="1226" spans="1:17" x14ac:dyDescent="0.3">
      <c r="A1226" s="1" t="str">
        <f t="shared" si="403"/>
        <v>D2</v>
      </c>
      <c r="B1226" s="1" t="str">
        <f>"PUL401"</f>
        <v>PUL401</v>
      </c>
      <c r="C1226" s="1" t="str">
        <f>"폐렴"</f>
        <v>폐렴</v>
      </c>
      <c r="D1226" s="1" t="str">
        <f>"흉부 방사선 검사 상 폐렴이 의심됩니다. 정밀검사 및 치료를 위해 호흡기내과 진료를 받으세요."</f>
        <v>흉부 방사선 검사 상 폐렴이 의심됩니다. 정밀검사 및 치료를 위해 호흡기내과 진료를 받으세요.</v>
      </c>
      <c r="E1226" s="1" t="str">
        <f t="shared" si="417"/>
        <v>WOK02</v>
      </c>
      <c r="F1226" s="1" t="str">
        <f t="shared" si="418"/>
        <v>PTM04</v>
      </c>
      <c r="G1226" s="1" t="str">
        <f t="shared" si="419"/>
        <v>DISJ</v>
      </c>
      <c r="H1226" s="1" t="str">
        <f t="shared" si="420"/>
        <v>REL02</v>
      </c>
      <c r="I1226" s="1" t="str">
        <f>""</f>
        <v/>
      </c>
      <c r="J1226" s="1" t="str">
        <f>"C57D"</f>
        <v>C57D</v>
      </c>
      <c r="K1226" s="1" t="str">
        <f>"C57D"</f>
        <v>C57D</v>
      </c>
      <c r="L1226" s="1" t="str">
        <f t="shared" si="415"/>
        <v>R</v>
      </c>
      <c r="M1226" s="1" t="str">
        <f t="shared" si="421"/>
        <v>T04</v>
      </c>
      <c r="N1226" s="1" t="str">
        <f t="shared" si="416"/>
        <v>Y</v>
      </c>
      <c r="O1226" s="1" t="str">
        <f t="shared" si="411"/>
        <v>Y</v>
      </c>
      <c r="P1226" s="1" t="str">
        <f t="shared" ref="P1226:P1289" si="422">"Y"</f>
        <v>Y</v>
      </c>
      <c r="Q1226" s="1" t="str">
        <f t="shared" si="412"/>
        <v>A</v>
      </c>
    </row>
    <row r="1227" spans="1:17" x14ac:dyDescent="0.3">
      <c r="A1227" s="1" t="str">
        <f t="shared" si="403"/>
        <v>D2</v>
      </c>
      <c r="B1227" s="1" t="str">
        <f>"PUL405"</f>
        <v>PUL405</v>
      </c>
      <c r="C1227" s="1" t="str">
        <f>"기포성폐기종"</f>
        <v>기포성폐기종</v>
      </c>
      <c r="D1227" s="1" t="str">
        <f>"호흡기내과 진료후 정확한 진단 및 치료를 받으세요."</f>
        <v>호흡기내과 진료후 정확한 진단 및 치료를 받으세요.</v>
      </c>
      <c r="E1227" s="1" t="str">
        <f t="shared" si="417"/>
        <v>WOK02</v>
      </c>
      <c r="F1227" s="1" t="str">
        <f t="shared" si="418"/>
        <v>PTM04</v>
      </c>
      <c r="G1227" s="1" t="str">
        <f t="shared" si="419"/>
        <v>DISJ</v>
      </c>
      <c r="H1227" s="1" t="str">
        <f t="shared" si="420"/>
        <v>REL02</v>
      </c>
      <c r="I1227" s="1" t="str">
        <f>""</f>
        <v/>
      </c>
      <c r="J1227" s="1" t="str">
        <f t="shared" ref="J1227:K1229" si="423">"C02D"</f>
        <v>C02D</v>
      </c>
      <c r="K1227" s="1" t="str">
        <f t="shared" si="423"/>
        <v>C02D</v>
      </c>
      <c r="L1227" s="1" t="str">
        <f t="shared" si="415"/>
        <v>R</v>
      </c>
      <c r="M1227" s="1" t="str">
        <f t="shared" si="421"/>
        <v>T04</v>
      </c>
      <c r="N1227" s="1" t="str">
        <f t="shared" si="416"/>
        <v>Y</v>
      </c>
      <c r="O1227" s="1" t="str">
        <f t="shared" si="411"/>
        <v>Y</v>
      </c>
      <c r="P1227" s="1" t="str">
        <f t="shared" si="422"/>
        <v>Y</v>
      </c>
      <c r="Q1227" s="1" t="str">
        <f t="shared" si="412"/>
        <v>A</v>
      </c>
    </row>
    <row r="1228" spans="1:17" x14ac:dyDescent="0.3">
      <c r="A1228" s="1" t="str">
        <f t="shared" ref="A1228:A1237" si="424">"D2"</f>
        <v>D2</v>
      </c>
      <c r="B1228" s="1" t="str">
        <f>"PUL412"</f>
        <v>PUL412</v>
      </c>
      <c r="C1228" s="1" t="str">
        <f>"흉막 종양의심"</f>
        <v>흉막 종양의심</v>
      </c>
      <c r="D1228" s="1" t="str">
        <f>"정확환 진단 및 치료를 위해 호흡기 내과 진료를 요합니다."</f>
        <v>정확환 진단 및 치료를 위해 호흡기 내과 진료를 요합니다.</v>
      </c>
      <c r="E1228" s="1" t="str">
        <f t="shared" si="417"/>
        <v>WOK02</v>
      </c>
      <c r="F1228" s="1" t="str">
        <f t="shared" si="418"/>
        <v>PTM04</v>
      </c>
      <c r="G1228" s="1" t="str">
        <f t="shared" si="419"/>
        <v>DISJ</v>
      </c>
      <c r="H1228" s="1" t="str">
        <f t="shared" si="420"/>
        <v>REL02</v>
      </c>
      <c r="I1228" s="1" t="str">
        <f>""</f>
        <v/>
      </c>
      <c r="J1228" s="1" t="str">
        <f t="shared" si="423"/>
        <v>C02D</v>
      </c>
      <c r="K1228" s="1" t="str">
        <f t="shared" si="423"/>
        <v>C02D</v>
      </c>
      <c r="L1228" s="1" t="str">
        <f t="shared" si="415"/>
        <v>R</v>
      </c>
      <c r="M1228" s="1" t="str">
        <f t="shared" si="421"/>
        <v>T04</v>
      </c>
      <c r="N1228" s="1" t="str">
        <f t="shared" si="416"/>
        <v>Y</v>
      </c>
      <c r="O1228" s="1" t="str">
        <f t="shared" si="411"/>
        <v>Y</v>
      </c>
      <c r="P1228" s="1" t="str">
        <f t="shared" si="422"/>
        <v>Y</v>
      </c>
      <c r="Q1228" s="1" t="str">
        <f t="shared" si="412"/>
        <v>A</v>
      </c>
    </row>
    <row r="1229" spans="1:17" x14ac:dyDescent="0.3">
      <c r="A1229" s="1" t="str">
        <f t="shared" si="424"/>
        <v>D2</v>
      </c>
      <c r="B1229" s="1" t="str">
        <f>"PUL414"</f>
        <v>PUL414</v>
      </c>
      <c r="C1229" s="1" t="str">
        <f>"종격동 종양"</f>
        <v>종격동 종양</v>
      </c>
      <c r="D1229" s="1" t="str">
        <f>"빠른 시일내에 흉부외과 진료를 받으세요."</f>
        <v>빠른 시일내에 흉부외과 진료를 받으세요.</v>
      </c>
      <c r="E1229" s="1" t="str">
        <f t="shared" si="417"/>
        <v>WOK02</v>
      </c>
      <c r="F1229" s="1" t="str">
        <f t="shared" si="418"/>
        <v>PTM04</v>
      </c>
      <c r="G1229" s="1" t="str">
        <f t="shared" si="419"/>
        <v>DISJ</v>
      </c>
      <c r="H1229" s="1" t="str">
        <f t="shared" si="420"/>
        <v>REL02</v>
      </c>
      <c r="I1229" s="1" t="str">
        <f>""</f>
        <v/>
      </c>
      <c r="J1229" s="1" t="str">
        <f t="shared" si="423"/>
        <v>C02D</v>
      </c>
      <c r="K1229" s="1" t="str">
        <f t="shared" si="423"/>
        <v>C02D</v>
      </c>
      <c r="L1229" s="1" t="str">
        <f t="shared" si="415"/>
        <v>R</v>
      </c>
      <c r="M1229" s="1" t="str">
        <f t="shared" si="421"/>
        <v>T04</v>
      </c>
      <c r="N1229" s="1" t="str">
        <f t="shared" si="416"/>
        <v>Y</v>
      </c>
      <c r="O1229" s="1" t="str">
        <f t="shared" si="411"/>
        <v>Y</v>
      </c>
      <c r="P1229" s="1" t="str">
        <f t="shared" si="422"/>
        <v>Y</v>
      </c>
      <c r="Q1229" s="1" t="str">
        <f t="shared" si="412"/>
        <v>A</v>
      </c>
    </row>
    <row r="1230" spans="1:17" x14ac:dyDescent="0.3">
      <c r="A1230" s="1" t="str">
        <f t="shared" si="424"/>
        <v>D2</v>
      </c>
      <c r="B1230" s="1" t="str">
        <f>"PUL415"</f>
        <v>PUL415</v>
      </c>
      <c r="C1230" s="1" t="str">
        <f>"중등도 심비대"</f>
        <v>중등도 심비대</v>
      </c>
      <c r="D1230" s="1" t="str">
        <f>"순환기내과 진료를 요합니다."</f>
        <v>순환기내과 진료를 요합니다.</v>
      </c>
      <c r="E1230" s="1" t="str">
        <f t="shared" si="417"/>
        <v>WOK02</v>
      </c>
      <c r="F1230" s="1" t="str">
        <f>"PTM03"</f>
        <v>PTM03</v>
      </c>
      <c r="G1230" s="1" t="str">
        <f>"DISI"</f>
        <v>DISI</v>
      </c>
      <c r="H1230" s="1" t="str">
        <f>"REL06"</f>
        <v>REL06</v>
      </c>
      <c r="I1230" s="1" t="str">
        <f>""</f>
        <v/>
      </c>
      <c r="J1230" s="1" t="str">
        <f>"C39D"</f>
        <v>C39D</v>
      </c>
      <c r="K1230" s="1" t="str">
        <f>"C39D"</f>
        <v>C39D</v>
      </c>
      <c r="L1230" s="1" t="str">
        <f t="shared" si="415"/>
        <v>R</v>
      </c>
      <c r="M1230" s="1" t="str">
        <f>"T03"</f>
        <v>T03</v>
      </c>
      <c r="N1230" s="1" t="str">
        <f t="shared" si="416"/>
        <v>Y</v>
      </c>
      <c r="O1230" s="1" t="str">
        <f t="shared" si="411"/>
        <v>Y</v>
      </c>
      <c r="P1230" s="1" t="str">
        <f t="shared" si="422"/>
        <v>Y</v>
      </c>
      <c r="Q1230" s="1" t="str">
        <f t="shared" si="412"/>
        <v>A</v>
      </c>
    </row>
    <row r="1231" spans="1:17" x14ac:dyDescent="0.3">
      <c r="A1231" s="1" t="str">
        <f t="shared" si="424"/>
        <v>D2</v>
      </c>
      <c r="B1231" s="1" t="str">
        <f>"STU400"</f>
        <v>STU400</v>
      </c>
      <c r="C1231" s="1" t="str">
        <f>"간 질환"</f>
        <v>간 질환</v>
      </c>
      <c r="D1231" s="1" t="str">
        <f>"간효소 수치가 높습니다. 원인에 대한 추가검사와 치료가 필요 하므로 가까운 병원에서 진료 받으세요."</f>
        <v>간효소 수치가 높습니다. 원인에 대한 추가검사와 치료가 필요 하므로 가까운 병원에서 진료 받으세요.</v>
      </c>
      <c r="E1231" s="1" t="str">
        <f t="shared" si="417"/>
        <v>WOK02</v>
      </c>
      <c r="F1231" s="1" t="str">
        <f>"PTM04"</f>
        <v>PTM04</v>
      </c>
      <c r="G1231" s="1" t="str">
        <f>"DISK"</f>
        <v>DISK</v>
      </c>
      <c r="H1231" s="1" t="str">
        <f>"REL05"</f>
        <v>REL05</v>
      </c>
      <c r="I1231" s="1" t="str">
        <f>""</f>
        <v/>
      </c>
      <c r="J1231" s="1" t="str">
        <f>"C05D"</f>
        <v>C05D</v>
      </c>
      <c r="K1231" s="1" t="str">
        <f>"C05D"</f>
        <v>C05D</v>
      </c>
      <c r="L1231" s="1" t="str">
        <f t="shared" si="415"/>
        <v>R</v>
      </c>
      <c r="M1231" s="1" t="str">
        <f>"T02"</f>
        <v>T02</v>
      </c>
      <c r="N1231" s="1" t="str">
        <f t="shared" si="416"/>
        <v>Y</v>
      </c>
      <c r="O1231" s="1" t="str">
        <f t="shared" si="411"/>
        <v>Y</v>
      </c>
      <c r="P1231" s="1" t="str">
        <f t="shared" si="422"/>
        <v>Y</v>
      </c>
      <c r="Q1231" s="1" t="str">
        <f t="shared" si="412"/>
        <v>A</v>
      </c>
    </row>
    <row r="1232" spans="1:17" x14ac:dyDescent="0.3">
      <c r="A1232" s="1" t="str">
        <f t="shared" si="424"/>
        <v>D2</v>
      </c>
      <c r="B1232" s="1" t="str">
        <f>"TBC002"</f>
        <v>TBC002</v>
      </c>
      <c r="C1232" s="1" t="str">
        <f>"결핵도말검사양성"</f>
        <v>결핵도말검사양성</v>
      </c>
      <c r="D1232" s="1" t="str">
        <f>"결핵균에 대한 객담도말검사 결과 양성 소견입니다. 결핵 치료가 필요하므로 호흡기내과 내원 상담하시기 바랍니다."</f>
        <v>결핵균에 대한 객담도말검사 결과 양성 소견입니다. 결핵 치료가 필요하므로 호흡기내과 내원 상담하시기 바랍니다.</v>
      </c>
      <c r="E1232" s="1" t="str">
        <f t="shared" si="417"/>
        <v>WOK02</v>
      </c>
      <c r="F1232" s="1" t="str">
        <f>"PTM04"</f>
        <v>PTM04</v>
      </c>
      <c r="G1232" s="1" t="str">
        <f>"DISA"</f>
        <v>DISA</v>
      </c>
      <c r="H1232" s="1" t="str">
        <f>"REL01"</f>
        <v>REL01</v>
      </c>
      <c r="I1232" s="1" t="str">
        <f>""</f>
        <v/>
      </c>
      <c r="J1232" s="1" t="str">
        <f>"C01D"</f>
        <v>C01D</v>
      </c>
      <c r="K1232" s="1" t="str">
        <f>"C01D"</f>
        <v>C01D</v>
      </c>
      <c r="L1232" s="1" t="str">
        <f t="shared" si="415"/>
        <v>R</v>
      </c>
      <c r="M1232" s="1" t="str">
        <f>"T04"</f>
        <v>T04</v>
      </c>
      <c r="N1232" s="1" t="str">
        <f t="shared" si="416"/>
        <v>Y</v>
      </c>
      <c r="O1232" s="1" t="str">
        <f t="shared" si="411"/>
        <v>Y</v>
      </c>
      <c r="P1232" s="1" t="str">
        <f t="shared" si="422"/>
        <v>Y</v>
      </c>
      <c r="Q1232" s="1" t="str">
        <f t="shared" si="412"/>
        <v>A</v>
      </c>
    </row>
    <row r="1233" spans="1:17" x14ac:dyDescent="0.3">
      <c r="A1233" s="1" t="str">
        <f t="shared" si="424"/>
        <v>D2</v>
      </c>
      <c r="B1233" s="1" t="str">
        <f>"TBC301"</f>
        <v>TBC301</v>
      </c>
      <c r="C1233" s="1" t="str">
        <f>"활동성 폐결핵 의심"</f>
        <v>활동성 폐결핵 의심</v>
      </c>
      <c r="D1233" s="1" t="str">
        <f>"현재의 상태는 과거결핵의 흔적일 수도 있고  현재 재발되거나 발병했을 수도 있습니다. 정밀검사를 위해 외래로 내원하세요"</f>
        <v>현재의 상태는 과거결핵의 흔적일 수도 있고  현재 재발되거나 발병했을 수도 있습니다. 정밀검사를 위해 외래로 내원하세요</v>
      </c>
      <c r="E1233" s="1" t="str">
        <f t="shared" si="417"/>
        <v>WOK02</v>
      </c>
      <c r="F1233" s="1" t="str">
        <f>"PTM04"</f>
        <v>PTM04</v>
      </c>
      <c r="G1233" s="1" t="str">
        <f>"DISJ"</f>
        <v>DISJ</v>
      </c>
      <c r="H1233" s="1" t="str">
        <f>"REL01"</f>
        <v>REL01</v>
      </c>
      <c r="I1233" s="1" t="str">
        <f>""</f>
        <v/>
      </c>
      <c r="J1233" s="1" t="str">
        <f>"C01D"</f>
        <v>C01D</v>
      </c>
      <c r="K1233" s="1" t="str">
        <f>"C01D"</f>
        <v>C01D</v>
      </c>
      <c r="L1233" s="1" t="str">
        <f t="shared" si="415"/>
        <v>R</v>
      </c>
      <c r="M1233" s="1" t="str">
        <f>"T04"</f>
        <v>T04</v>
      </c>
      <c r="N1233" s="1" t="str">
        <f t="shared" si="416"/>
        <v>Y</v>
      </c>
      <c r="O1233" s="1" t="str">
        <f t="shared" si="411"/>
        <v>Y</v>
      </c>
      <c r="P1233" s="1" t="str">
        <f t="shared" si="422"/>
        <v>Y</v>
      </c>
      <c r="Q1233" s="1" t="str">
        <f t="shared" si="412"/>
        <v>A</v>
      </c>
    </row>
    <row r="1234" spans="1:17" x14ac:dyDescent="0.3">
      <c r="A1234" s="1" t="str">
        <f t="shared" si="424"/>
        <v>D2</v>
      </c>
      <c r="B1234" s="1" t="str">
        <f>"TBC401"</f>
        <v>TBC401</v>
      </c>
      <c r="C1234" s="1" t="str">
        <f>"폐결핵 활동성"</f>
        <v>폐결핵 활동성</v>
      </c>
      <c r="D1234" s="1" t="str">
        <f>"폐결핵으로 판단됩니다. 치료를 위해 내원하세요"</f>
        <v>폐결핵으로 판단됩니다. 치료를 위해 내원하세요</v>
      </c>
      <c r="E1234" s="1" t="str">
        <f>"WOK03"</f>
        <v>WOK03</v>
      </c>
      <c r="F1234" s="1" t="str">
        <f>"PTM04"</f>
        <v>PTM04</v>
      </c>
      <c r="G1234" s="1" t="str">
        <f>"DISA"</f>
        <v>DISA</v>
      </c>
      <c r="H1234" s="1" t="str">
        <f>"REL02"</f>
        <v>REL02</v>
      </c>
      <c r="I1234" s="1" t="str">
        <f>""</f>
        <v/>
      </c>
      <c r="J1234" s="1" t="str">
        <f>""</f>
        <v/>
      </c>
      <c r="K1234" s="1" t="str">
        <f>""</f>
        <v/>
      </c>
      <c r="L1234" s="1" t="str">
        <f t="shared" si="415"/>
        <v>R</v>
      </c>
      <c r="M1234" s="1" t="str">
        <f>"T04"</f>
        <v>T04</v>
      </c>
      <c r="N1234" s="1" t="str">
        <f t="shared" si="416"/>
        <v>Y</v>
      </c>
      <c r="O1234" s="1" t="str">
        <f t="shared" si="411"/>
        <v>Y</v>
      </c>
      <c r="P1234" s="1" t="str">
        <f t="shared" si="422"/>
        <v>Y</v>
      </c>
      <c r="Q1234" s="1" t="str">
        <f t="shared" si="412"/>
        <v>A</v>
      </c>
    </row>
    <row r="1235" spans="1:17" x14ac:dyDescent="0.3">
      <c r="A1235" s="1" t="str">
        <f t="shared" si="424"/>
        <v>D2</v>
      </c>
      <c r="B1235" s="1" t="str">
        <f>"THY301"</f>
        <v>THY301</v>
      </c>
      <c r="C1235" s="1" t="str">
        <f>"갑상선 기능 검사상 이상소견"</f>
        <v>갑상선 기능 검사상 이상소견</v>
      </c>
      <c r="D1235" s="1" t="str">
        <f>"갑상선 기능 검사에 약간의 이상이 있습니다.내분비내과 진료를 받으시길 바랍니다."</f>
        <v>갑상선 기능 검사에 약간의 이상이 있습니다.내분비내과 진료를 받으시길 바랍니다.</v>
      </c>
      <c r="E1235" s="1" t="str">
        <f>"WOK02"</f>
        <v>WOK02</v>
      </c>
      <c r="F1235" s="1" t="str">
        <f>"PTM03"</f>
        <v>PTM03</v>
      </c>
      <c r="G1235" s="1" t="str">
        <f>""</f>
        <v/>
      </c>
      <c r="H1235" s="1" t="str">
        <f>"REL23"</f>
        <v>REL23</v>
      </c>
      <c r="I1235" s="1" t="str">
        <f>""</f>
        <v/>
      </c>
      <c r="J1235" s="1" t="str">
        <f>"C35D"</f>
        <v>C35D</v>
      </c>
      <c r="K1235" s="1" t="str">
        <f>"C35D"</f>
        <v>C35D</v>
      </c>
      <c r="L1235" s="1" t="str">
        <f t="shared" si="415"/>
        <v>R</v>
      </c>
      <c r="M1235" s="1" t="str">
        <f>""</f>
        <v/>
      </c>
      <c r="N1235" s="1" t="str">
        <f t="shared" si="416"/>
        <v>Y</v>
      </c>
      <c r="O1235" s="1" t="str">
        <f t="shared" si="411"/>
        <v>Y</v>
      </c>
      <c r="P1235" s="1" t="str">
        <f t="shared" si="422"/>
        <v>Y</v>
      </c>
      <c r="Q1235" s="1" t="str">
        <f t="shared" si="412"/>
        <v>A</v>
      </c>
    </row>
    <row r="1236" spans="1:17" x14ac:dyDescent="0.3">
      <c r="A1236" s="1" t="str">
        <f t="shared" si="424"/>
        <v>D2</v>
      </c>
      <c r="B1236" s="1" t="str">
        <f>"UBIJD02"</f>
        <v>UBIJD02</v>
      </c>
      <c r="C1236" s="1" t="str">
        <f>"간담도계 질환 소견"</f>
        <v>간담도계 질환 소견</v>
      </c>
      <c r="D1236" s="1" t="str">
        <f>"소변검사에서 간담도계 질환이 의심되는 소견이 나타났습니다. 빠른 시일 내에 내과 내원하여 진단 및 치료 바랍니다."</f>
        <v>소변검사에서 간담도계 질환이 의심되는 소견이 나타났습니다. 빠른 시일 내에 내과 내원하여 진단 및 치료 바랍니다.</v>
      </c>
      <c r="E1236" s="1" t="str">
        <f>"WOK02"</f>
        <v>WOK02</v>
      </c>
      <c r="F1236" s="1" t="str">
        <f>"PTM04"</f>
        <v>PTM04</v>
      </c>
      <c r="G1236" s="1" t="str">
        <f>"DISK"</f>
        <v>DISK</v>
      </c>
      <c r="H1236" s="1" t="str">
        <f>"REL05"</f>
        <v>REL05</v>
      </c>
      <c r="I1236" s="1" t="str">
        <f>""</f>
        <v/>
      </c>
      <c r="J1236" s="1" t="str">
        <f>"C05D"</f>
        <v>C05D</v>
      </c>
      <c r="K1236" s="1" t="str">
        <f>"C05D"</f>
        <v>C05D</v>
      </c>
      <c r="L1236" s="1" t="str">
        <f t="shared" si="415"/>
        <v>R</v>
      </c>
      <c r="M1236" s="1" t="str">
        <f>"T02"</f>
        <v>T02</v>
      </c>
      <c r="N1236" s="1" t="str">
        <f t="shared" si="416"/>
        <v>Y</v>
      </c>
      <c r="O1236" s="1" t="str">
        <f t="shared" si="411"/>
        <v>Y</v>
      </c>
      <c r="P1236" s="1" t="str">
        <f t="shared" si="422"/>
        <v>Y</v>
      </c>
      <c r="Q1236" s="1" t="str">
        <f t="shared" si="412"/>
        <v>A</v>
      </c>
    </row>
    <row r="1237" spans="1:17" x14ac:dyDescent="0.3">
      <c r="A1237" s="1" t="str">
        <f t="shared" si="424"/>
        <v>D2</v>
      </c>
      <c r="B1237" s="1" t="str">
        <f>"URI401"</f>
        <v>URI401</v>
      </c>
      <c r="C1237" s="1" t="str">
        <f>"요산증"</f>
        <v>요산증</v>
      </c>
      <c r="D1237" s="1" t="str">
        <f>"통풍에 대한 정밀진단 및 치료를 받기위해 외래방문하세요"</f>
        <v>통풍에 대한 정밀진단 및 치료를 받기위해 외래방문하세요</v>
      </c>
      <c r="E1237" s="1" t="str">
        <f>""</f>
        <v/>
      </c>
      <c r="F1237" s="1" t="str">
        <f>""</f>
        <v/>
      </c>
      <c r="G1237" s="1" t="str">
        <f>""</f>
        <v/>
      </c>
      <c r="H1237" s="1" t="str">
        <f>""</f>
        <v/>
      </c>
      <c r="I1237" s="1" t="str">
        <f>""</f>
        <v/>
      </c>
      <c r="J1237" s="1" t="str">
        <f>""</f>
        <v/>
      </c>
      <c r="K1237" s="1" t="str">
        <f>""</f>
        <v/>
      </c>
      <c r="L1237" s="1" t="str">
        <f t="shared" si="415"/>
        <v>R</v>
      </c>
      <c r="M1237" s="1" t="str">
        <f>""</f>
        <v/>
      </c>
      <c r="N1237" s="1" t="str">
        <f t="shared" si="416"/>
        <v>Y</v>
      </c>
      <c r="O1237" s="1" t="str">
        <f t="shared" si="411"/>
        <v>Y</v>
      </c>
      <c r="P1237" s="1" t="str">
        <f t="shared" si="422"/>
        <v>Y</v>
      </c>
      <c r="Q1237" s="1" t="str">
        <f t="shared" si="412"/>
        <v>A</v>
      </c>
    </row>
    <row r="1238" spans="1:17" x14ac:dyDescent="0.3">
      <c r="A1238" s="1" t="str">
        <f t="shared" ref="A1238:A1285" si="425">"DN"</f>
        <v>DN</v>
      </c>
      <c r="B1238" s="1" t="str">
        <f>"DMD303N"</f>
        <v>DMD303N</v>
      </c>
      <c r="C1238" s="1" t="str">
        <f>"당뇨병 의심"</f>
        <v>당뇨병 의심</v>
      </c>
      <c r="D1238" s="1" t="str">
        <f>"공복혈당 확인. 내과 진료 권고"</f>
        <v>공복혈당 확인. 내과 진료 권고</v>
      </c>
      <c r="E1238" s="1" t="str">
        <f t="shared" ref="E1238:E1269" si="426">"WOK02"</f>
        <v>WOK02</v>
      </c>
      <c r="F1238" s="1" t="str">
        <f>"PTM01"</f>
        <v>PTM01</v>
      </c>
      <c r="G1238" s="1" t="str">
        <f>"DIS600"</f>
        <v>DIS600</v>
      </c>
      <c r="H1238" s="1" t="str">
        <f>"REL07"</f>
        <v>REL07</v>
      </c>
      <c r="I1238" s="1" t="str">
        <f>""</f>
        <v/>
      </c>
      <c r="J1238" s="1" t="str">
        <f>"N01D"</f>
        <v>N01D</v>
      </c>
      <c r="K1238" s="1" t="str">
        <f>"N01C"</f>
        <v>N01C</v>
      </c>
      <c r="L1238" s="1" t="str">
        <f t="shared" si="415"/>
        <v>R</v>
      </c>
      <c r="M1238" s="1" t="str">
        <f>"T031"</f>
        <v>T031</v>
      </c>
      <c r="N1238" s="1" t="str">
        <f t="shared" si="416"/>
        <v>Y</v>
      </c>
      <c r="O1238" s="1" t="str">
        <f t="shared" si="411"/>
        <v>Y</v>
      </c>
      <c r="P1238" s="1" t="str">
        <f t="shared" si="422"/>
        <v>Y</v>
      </c>
      <c r="Q1238" s="1" t="str">
        <f t="shared" si="412"/>
        <v>A</v>
      </c>
    </row>
    <row r="1239" spans="1:17" x14ac:dyDescent="0.3">
      <c r="A1239" s="1" t="str">
        <f t="shared" si="425"/>
        <v>DN</v>
      </c>
      <c r="B1239" s="1" t="str">
        <f>"DMD304DN"</f>
        <v>DMD304DN</v>
      </c>
      <c r="C1239" s="1" t="str">
        <f>"당뇨병"</f>
        <v>당뇨병</v>
      </c>
      <c r="D1239" s="1" t="str">
        <f>"당뇨병이 있습니다. 내과나 가정의학과 진료를 받으세요."</f>
        <v>당뇨병이 있습니다. 내과나 가정의학과 진료를 받으세요.</v>
      </c>
      <c r="E1239" s="1" t="str">
        <f t="shared" si="426"/>
        <v>WOK02</v>
      </c>
      <c r="F1239" s="1" t="str">
        <f t="shared" ref="F1239:F1283" si="427">"PTM04"</f>
        <v>PTM04</v>
      </c>
      <c r="G1239" s="1" t="str">
        <f>"DIS600"</f>
        <v>DIS600</v>
      </c>
      <c r="H1239" s="1" t="str">
        <f>"REL07"</f>
        <v>REL07</v>
      </c>
      <c r="I1239" s="1" t="str">
        <f>""</f>
        <v/>
      </c>
      <c r="J1239" s="1" t="str">
        <f>"N04D"</f>
        <v>N04D</v>
      </c>
      <c r="K1239" s="1" t="str">
        <f>"N04D"</f>
        <v>N04D</v>
      </c>
      <c r="L1239" s="1" t="str">
        <f t="shared" si="415"/>
        <v>R</v>
      </c>
      <c r="M1239" s="1" t="str">
        <f>"T031"</f>
        <v>T031</v>
      </c>
      <c r="N1239" s="1" t="str">
        <f t="shared" si="416"/>
        <v>Y</v>
      </c>
      <c r="O1239" s="1" t="str">
        <f t="shared" si="411"/>
        <v>Y</v>
      </c>
      <c r="P1239" s="1" t="str">
        <f t="shared" si="422"/>
        <v>Y</v>
      </c>
      <c r="Q1239" s="1" t="str">
        <f t="shared" si="412"/>
        <v>A</v>
      </c>
    </row>
    <row r="1240" spans="1:17" x14ac:dyDescent="0.3">
      <c r="A1240" s="1" t="str">
        <f t="shared" si="425"/>
        <v>DN</v>
      </c>
      <c r="B1240" s="1" t="str">
        <f>"DMD305DN"</f>
        <v>DMD305DN</v>
      </c>
      <c r="C1240" s="1" t="str">
        <f>"당화혈색소 상승"</f>
        <v>당화혈색소 상승</v>
      </c>
      <c r="D1240" s="1" t="str">
        <f>"당뇨병 주의. 내과 진료 권고"</f>
        <v>당뇨병 주의. 내과 진료 권고</v>
      </c>
      <c r="E1240" s="1" t="str">
        <f t="shared" si="426"/>
        <v>WOK02</v>
      </c>
      <c r="F1240" s="1" t="str">
        <f t="shared" si="427"/>
        <v>PTM04</v>
      </c>
      <c r="G1240" s="1" t="str">
        <f>"DIS600"</f>
        <v>DIS600</v>
      </c>
      <c r="H1240" s="1" t="str">
        <f>"REL07"</f>
        <v>REL07</v>
      </c>
      <c r="I1240" s="1" t="str">
        <f>""</f>
        <v/>
      </c>
      <c r="J1240" s="1" t="str">
        <f>"N01D"</f>
        <v>N01D</v>
      </c>
      <c r="K1240" s="1" t="str">
        <f>"N01C"</f>
        <v>N01C</v>
      </c>
      <c r="L1240" s="1" t="str">
        <f t="shared" si="415"/>
        <v>R</v>
      </c>
      <c r="M1240" s="1" t="str">
        <f>"T031"</f>
        <v>T031</v>
      </c>
      <c r="N1240" s="1" t="str">
        <f t="shared" si="416"/>
        <v>Y</v>
      </c>
      <c r="O1240" s="1" t="str">
        <f t="shared" si="411"/>
        <v>Y</v>
      </c>
      <c r="P1240" s="1" t="str">
        <f t="shared" si="422"/>
        <v>Y</v>
      </c>
      <c r="Q1240" s="1" t="str">
        <f t="shared" si="412"/>
        <v>A</v>
      </c>
    </row>
    <row r="1241" spans="1:17" x14ac:dyDescent="0.3">
      <c r="A1241" s="1" t="str">
        <f t="shared" si="425"/>
        <v>DN</v>
      </c>
      <c r="B1241" s="1" t="str">
        <f>"GNPRTU05"</f>
        <v>GNPRTU05</v>
      </c>
      <c r="C1241" s="1" t="str">
        <f>"신질환 의심"</f>
        <v>신질환 의심</v>
      </c>
      <c r="D1241" s="1" t="str">
        <f>"단백뇨 양성입니다. 원인감별을 위해 신장내과 진료 바랍니다."</f>
        <v>단백뇨 양성입니다. 원인감별을 위해 신장내과 진료 바랍니다.</v>
      </c>
      <c r="E1241" s="1" t="str">
        <f t="shared" si="426"/>
        <v>WOK02</v>
      </c>
      <c r="F1241" s="1" t="str">
        <f t="shared" si="427"/>
        <v>PTM04</v>
      </c>
      <c r="G1241" s="1" t="str">
        <f>"DISN"</f>
        <v>DISN</v>
      </c>
      <c r="H1241" s="1" t="str">
        <f>"REL08"</f>
        <v>REL08</v>
      </c>
      <c r="I1241" s="1" t="str">
        <f>""</f>
        <v/>
      </c>
      <c r="J1241" s="1" t="str">
        <f>"C07R"</f>
        <v>C07R</v>
      </c>
      <c r="K1241" s="1" t="str">
        <f>"C07R"</f>
        <v>C07R</v>
      </c>
      <c r="L1241" s="1" t="str">
        <f t="shared" si="415"/>
        <v>R</v>
      </c>
      <c r="M1241" s="1" t="str">
        <f>"T05"</f>
        <v>T05</v>
      </c>
      <c r="N1241" s="1" t="str">
        <f t="shared" si="416"/>
        <v>Y</v>
      </c>
      <c r="O1241" s="1" t="str">
        <f t="shared" si="411"/>
        <v>Y</v>
      </c>
      <c r="P1241" s="1" t="str">
        <f t="shared" si="422"/>
        <v>Y</v>
      </c>
      <c r="Q1241" s="1" t="str">
        <f t="shared" si="412"/>
        <v>A</v>
      </c>
    </row>
    <row r="1242" spans="1:17" x14ac:dyDescent="0.3">
      <c r="A1242" s="1" t="str">
        <f t="shared" si="425"/>
        <v>DN</v>
      </c>
      <c r="B1242" s="1" t="str">
        <f>"GNPRTU06"</f>
        <v>GNPRTU06</v>
      </c>
      <c r="C1242" s="1" t="str">
        <f>"신질환 의심"</f>
        <v>신질환 의심</v>
      </c>
      <c r="D1242" s="1" t="str">
        <f>"단백뇨 양성입니다. 원인감별을 위해서 신장내과 진료 바랍니다."</f>
        <v>단백뇨 양성입니다. 원인감별을 위해서 신장내과 진료 바랍니다.</v>
      </c>
      <c r="E1242" s="1" t="str">
        <f t="shared" si="426"/>
        <v>WOK02</v>
      </c>
      <c r="F1242" s="1" t="str">
        <f t="shared" si="427"/>
        <v>PTM04</v>
      </c>
      <c r="G1242" s="1" t="str">
        <f>"DISN"</f>
        <v>DISN</v>
      </c>
      <c r="H1242" s="1" t="str">
        <f>"REL08"</f>
        <v>REL08</v>
      </c>
      <c r="I1242" s="1" t="str">
        <f>""</f>
        <v/>
      </c>
      <c r="J1242" s="1" t="str">
        <f>"C07R"</f>
        <v>C07R</v>
      </c>
      <c r="K1242" s="1" t="str">
        <f>"C07R"</f>
        <v>C07R</v>
      </c>
      <c r="L1242" s="1" t="str">
        <f t="shared" si="415"/>
        <v>R</v>
      </c>
      <c r="M1242" s="1" t="str">
        <f>"T05"</f>
        <v>T05</v>
      </c>
      <c r="N1242" s="1" t="str">
        <f t="shared" si="416"/>
        <v>Y</v>
      </c>
      <c r="O1242" s="1" t="str">
        <f t="shared" si="411"/>
        <v>Y</v>
      </c>
      <c r="P1242" s="1" t="str">
        <f t="shared" si="422"/>
        <v>Y</v>
      </c>
      <c r="Q1242" s="1" t="str">
        <f t="shared" si="412"/>
        <v>A</v>
      </c>
    </row>
    <row r="1243" spans="1:17" x14ac:dyDescent="0.3">
      <c r="A1243" s="1" t="str">
        <f t="shared" si="425"/>
        <v>DN</v>
      </c>
      <c r="B1243" s="1" t="str">
        <f>"GNSNBC204"</f>
        <v>GNSNBC204</v>
      </c>
      <c r="C1243" s="1" t="str">
        <f>"(내분비계(야간작업) 유방암) 진료 권고"</f>
        <v>(내분비계(야간작업) 유방암) 진료 권고</v>
      </c>
      <c r="D1243" s="1" t="str">
        <f>"유방암 의심 소견이 있습니다. 병의원을 방문하여 보다 정확한 진단 및 치료를 받으시기 바랍니다."</f>
        <v>유방암 의심 소견이 있습니다. 병의원을 방문하여 보다 정확한 진단 및 치료를 받으시기 바랍니다.</v>
      </c>
      <c r="E1243" s="1" t="str">
        <f t="shared" si="426"/>
        <v>WOK02</v>
      </c>
      <c r="F1243" s="1" t="str">
        <f t="shared" si="427"/>
        <v>PTM04</v>
      </c>
      <c r="G1243" s="1" t="str">
        <f t="shared" ref="G1243:G1274" si="428">"DIS600"</f>
        <v>DIS600</v>
      </c>
      <c r="H1243" s="1" t="str">
        <f>"REL23"</f>
        <v>REL23</v>
      </c>
      <c r="I1243" s="1" t="str">
        <f t="shared" ref="I1243:I1270" si="429">"P0601"</f>
        <v>P0601</v>
      </c>
      <c r="J1243" s="1" t="str">
        <f t="shared" ref="J1243:J1273" si="430">"N01D"</f>
        <v>N01D</v>
      </c>
      <c r="K1243" s="1" t="str">
        <f t="shared" ref="K1243:K1273" si="431">"N01C"</f>
        <v>N01C</v>
      </c>
      <c r="L1243" s="1" t="str">
        <f t="shared" si="415"/>
        <v>R</v>
      </c>
      <c r="M1243" s="1" t="str">
        <f>"T211"</f>
        <v>T211</v>
      </c>
      <c r="N1243" s="1" t="str">
        <f t="shared" si="416"/>
        <v>Y</v>
      </c>
      <c r="O1243" s="1" t="str">
        <f t="shared" si="411"/>
        <v>Y</v>
      </c>
      <c r="P1243" s="1" t="str">
        <f t="shared" si="422"/>
        <v>Y</v>
      </c>
      <c r="Q1243" s="1" t="str">
        <f t="shared" si="412"/>
        <v>A</v>
      </c>
    </row>
    <row r="1244" spans="1:17" x14ac:dyDescent="0.3">
      <c r="A1244" s="1" t="str">
        <f t="shared" si="425"/>
        <v>DN</v>
      </c>
      <c r="B1244" s="1" t="str">
        <f>"GNSNBP111"</f>
        <v>GNSNBP111</v>
      </c>
      <c r="C1244" s="1" t="str">
        <f>"심혈관계(야간작업) 고혈압 유질환자"</f>
        <v>심혈관계(야간작업) 고혈압 유질환자</v>
      </c>
      <c r="D1244" s="1" t="str">
        <f>"고혈압이 잘 조절되고 있습니다. 지속적으로 관리하십시오."</f>
        <v>고혈압이 잘 조절되고 있습니다. 지속적으로 관리하십시오.</v>
      </c>
      <c r="E1244" s="1" t="str">
        <f t="shared" si="426"/>
        <v>WOK02</v>
      </c>
      <c r="F1244" s="1" t="str">
        <f t="shared" si="427"/>
        <v>PTM04</v>
      </c>
      <c r="G1244" s="1" t="str">
        <f t="shared" si="428"/>
        <v>DIS600</v>
      </c>
      <c r="H1244" s="1" t="str">
        <f t="shared" ref="H1244:H1255" si="432">"REL06"</f>
        <v>REL06</v>
      </c>
      <c r="I1244" s="1" t="str">
        <f t="shared" si="429"/>
        <v>P0601</v>
      </c>
      <c r="J1244" s="1" t="str">
        <f t="shared" si="430"/>
        <v>N01D</v>
      </c>
      <c r="K1244" s="1" t="str">
        <f t="shared" si="431"/>
        <v>N01C</v>
      </c>
      <c r="L1244" s="1" t="str">
        <f t="shared" si="415"/>
        <v>R</v>
      </c>
      <c r="M1244" s="1" t="str">
        <f t="shared" ref="M1244:M1268" si="433">"T031"</f>
        <v>T031</v>
      </c>
      <c r="N1244" s="1" t="str">
        <f t="shared" si="416"/>
        <v>Y</v>
      </c>
      <c r="O1244" s="1" t="str">
        <f t="shared" si="411"/>
        <v>Y</v>
      </c>
      <c r="P1244" s="1" t="str">
        <f t="shared" si="422"/>
        <v>Y</v>
      </c>
      <c r="Q1244" s="1" t="str">
        <f t="shared" si="412"/>
        <v>A</v>
      </c>
    </row>
    <row r="1245" spans="1:17" x14ac:dyDescent="0.3">
      <c r="A1245" s="1" t="str">
        <f t="shared" si="425"/>
        <v>DN</v>
      </c>
      <c r="B1245" s="1" t="str">
        <f>"GNSNBP112"</f>
        <v>GNSNBP112</v>
      </c>
      <c r="C1245" s="1" t="str">
        <f>"고혈압 질환"</f>
        <v>고혈압 질환</v>
      </c>
      <c r="D1245" s="1" t="s">
        <v>373</v>
      </c>
      <c r="E1245" s="1" t="str">
        <f t="shared" si="426"/>
        <v>WOK02</v>
      </c>
      <c r="F1245" s="1" t="str">
        <f t="shared" si="427"/>
        <v>PTM04</v>
      </c>
      <c r="G1245" s="1" t="str">
        <f t="shared" si="428"/>
        <v>DIS600</v>
      </c>
      <c r="H1245" s="1" t="str">
        <f t="shared" si="432"/>
        <v>REL06</v>
      </c>
      <c r="I1245" s="1" t="str">
        <f t="shared" si="429"/>
        <v>P0601</v>
      </c>
      <c r="J1245" s="1" t="str">
        <f t="shared" si="430"/>
        <v>N01D</v>
      </c>
      <c r="K1245" s="1" t="str">
        <f t="shared" si="431"/>
        <v>N01C</v>
      </c>
      <c r="L1245" s="1" t="str">
        <f t="shared" si="415"/>
        <v>R</v>
      </c>
      <c r="M1245" s="1" t="str">
        <f t="shared" si="433"/>
        <v>T031</v>
      </c>
      <c r="N1245" s="1" t="str">
        <f t="shared" si="416"/>
        <v>Y</v>
      </c>
      <c r="O1245" s="1" t="str">
        <f t="shared" si="411"/>
        <v>Y</v>
      </c>
      <c r="P1245" s="1" t="str">
        <f t="shared" si="422"/>
        <v>Y</v>
      </c>
      <c r="Q1245" s="1" t="str">
        <f t="shared" si="412"/>
        <v>A</v>
      </c>
    </row>
    <row r="1246" spans="1:17" x14ac:dyDescent="0.3">
      <c r="A1246" s="1" t="str">
        <f t="shared" si="425"/>
        <v>DN</v>
      </c>
      <c r="B1246" s="1" t="str">
        <f>"GNSNBP204"</f>
        <v>GNSNBP204</v>
      </c>
      <c r="C1246" s="1" t="str">
        <f>"(심혈관계(야간작업) 혈압) 고혈압 유소견"</f>
        <v>(심혈관계(야간작업) 혈압) 고혈압 유소견</v>
      </c>
      <c r="D1246" s="1" t="s">
        <v>374</v>
      </c>
      <c r="E1246" s="1" t="str">
        <f t="shared" si="426"/>
        <v>WOK02</v>
      </c>
      <c r="F1246" s="1" t="str">
        <f t="shared" si="427"/>
        <v>PTM04</v>
      </c>
      <c r="G1246" s="1" t="str">
        <f t="shared" si="428"/>
        <v>DIS600</v>
      </c>
      <c r="H1246" s="1" t="str">
        <f t="shared" si="432"/>
        <v>REL06</v>
      </c>
      <c r="I1246" s="1" t="str">
        <f t="shared" si="429"/>
        <v>P0601</v>
      </c>
      <c r="J1246" s="1" t="str">
        <f t="shared" si="430"/>
        <v>N01D</v>
      </c>
      <c r="K1246" s="1" t="str">
        <f t="shared" si="431"/>
        <v>N01C</v>
      </c>
      <c r="L1246" s="1" t="str">
        <f t="shared" si="415"/>
        <v>R</v>
      </c>
      <c r="M1246" s="1" t="str">
        <f t="shared" si="433"/>
        <v>T031</v>
      </c>
      <c r="N1246" s="1" t="str">
        <f t="shared" si="416"/>
        <v>Y</v>
      </c>
      <c r="O1246" s="1" t="str">
        <f t="shared" si="411"/>
        <v>Y</v>
      </c>
      <c r="P1246" s="1" t="str">
        <f t="shared" si="422"/>
        <v>Y</v>
      </c>
      <c r="Q1246" s="1" t="str">
        <f t="shared" si="412"/>
        <v>A</v>
      </c>
    </row>
    <row r="1247" spans="1:17" x14ac:dyDescent="0.3">
      <c r="A1247" s="1" t="str">
        <f t="shared" si="425"/>
        <v>DN</v>
      </c>
      <c r="B1247" s="1" t="str">
        <f>"GNSNBP211"</f>
        <v>GNSNBP211</v>
      </c>
      <c r="C1247" s="1" t="str">
        <f>"(심혈관계(야간작업) 혈압) 고혈압 유질환자"</f>
        <v>(심혈관계(야간작업) 혈압) 고혈압 유질환자</v>
      </c>
      <c r="D1247" s="1" t="str">
        <f>"혈압이 잘 조절되고 있습니다. 지속적으로 관리하십시오."</f>
        <v>혈압이 잘 조절되고 있습니다. 지속적으로 관리하십시오.</v>
      </c>
      <c r="E1247" s="1" t="str">
        <f t="shared" si="426"/>
        <v>WOK02</v>
      </c>
      <c r="F1247" s="1" t="str">
        <f t="shared" si="427"/>
        <v>PTM04</v>
      </c>
      <c r="G1247" s="1" t="str">
        <f t="shared" si="428"/>
        <v>DIS600</v>
      </c>
      <c r="H1247" s="1" t="str">
        <f t="shared" si="432"/>
        <v>REL06</v>
      </c>
      <c r="I1247" s="1" t="str">
        <f t="shared" si="429"/>
        <v>P0601</v>
      </c>
      <c r="J1247" s="1" t="str">
        <f t="shared" si="430"/>
        <v>N01D</v>
      </c>
      <c r="K1247" s="1" t="str">
        <f t="shared" si="431"/>
        <v>N01C</v>
      </c>
      <c r="L1247" s="1" t="str">
        <f t="shared" si="415"/>
        <v>R</v>
      </c>
      <c r="M1247" s="1" t="str">
        <f t="shared" si="433"/>
        <v>T031</v>
      </c>
      <c r="N1247" s="1" t="str">
        <f t="shared" si="416"/>
        <v>Y</v>
      </c>
      <c r="O1247" s="1" t="str">
        <f t="shared" si="411"/>
        <v>Y</v>
      </c>
      <c r="P1247" s="1" t="str">
        <f t="shared" si="422"/>
        <v>Y</v>
      </c>
      <c r="Q1247" s="1" t="str">
        <f t="shared" si="412"/>
        <v>A</v>
      </c>
    </row>
    <row r="1248" spans="1:17" x14ac:dyDescent="0.3">
      <c r="A1248" s="1" t="str">
        <f t="shared" si="425"/>
        <v>DN</v>
      </c>
      <c r="B1248" s="1" t="str">
        <f>"GNSNBP212"</f>
        <v>GNSNBP212</v>
      </c>
      <c r="C1248" s="1" t="str">
        <f>"(심혈관계(야간작업) 혈압) 고혈압 유질환자"</f>
        <v>(심혈관계(야간작업) 혈압) 고혈압 유질환자</v>
      </c>
      <c r="D1248" s="1" t="str">
        <f>"혈압이 다소 높게 관찰됩니다. 근무 후 충분한 수면과 휴식을 취하고 건강한 생활습관을 유지하시기 바랍니다."</f>
        <v>혈압이 다소 높게 관찰됩니다. 근무 후 충분한 수면과 휴식을 취하고 건강한 생활습관을 유지하시기 바랍니다.</v>
      </c>
      <c r="E1248" s="1" t="str">
        <f t="shared" si="426"/>
        <v>WOK02</v>
      </c>
      <c r="F1248" s="1" t="str">
        <f t="shared" si="427"/>
        <v>PTM04</v>
      </c>
      <c r="G1248" s="1" t="str">
        <f t="shared" si="428"/>
        <v>DIS600</v>
      </c>
      <c r="H1248" s="1" t="str">
        <f t="shared" si="432"/>
        <v>REL06</v>
      </c>
      <c r="I1248" s="1" t="str">
        <f t="shared" si="429"/>
        <v>P0601</v>
      </c>
      <c r="J1248" s="1" t="str">
        <f t="shared" si="430"/>
        <v>N01D</v>
      </c>
      <c r="K1248" s="1" t="str">
        <f t="shared" si="431"/>
        <v>N01C</v>
      </c>
      <c r="L1248" s="1" t="str">
        <f t="shared" si="415"/>
        <v>R</v>
      </c>
      <c r="M1248" s="1" t="str">
        <f t="shared" si="433"/>
        <v>T031</v>
      </c>
      <c r="N1248" s="1" t="str">
        <f t="shared" si="416"/>
        <v>Y</v>
      </c>
      <c r="O1248" s="1" t="str">
        <f t="shared" si="411"/>
        <v>Y</v>
      </c>
      <c r="P1248" s="1" t="str">
        <f t="shared" si="422"/>
        <v>Y</v>
      </c>
      <c r="Q1248" s="1" t="str">
        <f t="shared" si="412"/>
        <v>A</v>
      </c>
    </row>
    <row r="1249" spans="1:17" x14ac:dyDescent="0.3">
      <c r="A1249" s="1" t="str">
        <f t="shared" si="425"/>
        <v>DN</v>
      </c>
      <c r="B1249" s="1" t="str">
        <f>"GNSNBP213"</f>
        <v>GNSNBP213</v>
      </c>
      <c r="C1249" s="1" t="str">
        <f>"고혈압 유질환자"</f>
        <v>고혈압 유질환자</v>
      </c>
      <c r="D1249" s="1" t="str">
        <f>"혈압이 상승했습니다. 근무 중 치료가 필요한 상태입니다. 내과 또는 가정의학과 내원하여 진료 바랍니다."</f>
        <v>혈압이 상승했습니다. 근무 중 치료가 필요한 상태입니다. 내과 또는 가정의학과 내원하여 진료 바랍니다.</v>
      </c>
      <c r="E1249" s="1" t="str">
        <f t="shared" si="426"/>
        <v>WOK02</v>
      </c>
      <c r="F1249" s="1" t="str">
        <f t="shared" si="427"/>
        <v>PTM04</v>
      </c>
      <c r="G1249" s="1" t="str">
        <f t="shared" si="428"/>
        <v>DIS600</v>
      </c>
      <c r="H1249" s="1" t="str">
        <f t="shared" si="432"/>
        <v>REL06</v>
      </c>
      <c r="I1249" s="1" t="str">
        <f t="shared" si="429"/>
        <v>P0601</v>
      </c>
      <c r="J1249" s="1" t="str">
        <f t="shared" si="430"/>
        <v>N01D</v>
      </c>
      <c r="K1249" s="1" t="str">
        <f t="shared" si="431"/>
        <v>N01C</v>
      </c>
      <c r="L1249" s="1" t="str">
        <f t="shared" si="415"/>
        <v>R</v>
      </c>
      <c r="M1249" s="1" t="str">
        <f t="shared" si="433"/>
        <v>T031</v>
      </c>
      <c r="N1249" s="1" t="str">
        <f t="shared" si="416"/>
        <v>Y</v>
      </c>
      <c r="O1249" s="1" t="str">
        <f t="shared" si="411"/>
        <v>Y</v>
      </c>
      <c r="P1249" s="1" t="str">
        <f t="shared" si="422"/>
        <v>Y</v>
      </c>
      <c r="Q1249" s="1" t="str">
        <f t="shared" si="412"/>
        <v>A</v>
      </c>
    </row>
    <row r="1250" spans="1:17" x14ac:dyDescent="0.3">
      <c r="A1250" s="1" t="str">
        <f t="shared" si="425"/>
        <v>DN</v>
      </c>
      <c r="B1250" s="1" t="str">
        <f>"GNSNBP214"</f>
        <v>GNSNBP214</v>
      </c>
      <c r="C1250" s="1" t="str">
        <f>"(심혈관계(야간작업) 혈압) 고혈압 유질환자"</f>
        <v>(심혈관계(야간작업) 혈압) 고혈압 유질환자</v>
      </c>
      <c r="D1250" s="1" t="s">
        <v>375</v>
      </c>
      <c r="E1250" s="1" t="str">
        <f t="shared" si="426"/>
        <v>WOK02</v>
      </c>
      <c r="F1250" s="1" t="str">
        <f t="shared" si="427"/>
        <v>PTM04</v>
      </c>
      <c r="G1250" s="1" t="str">
        <f t="shared" si="428"/>
        <v>DIS600</v>
      </c>
      <c r="H1250" s="1" t="str">
        <f t="shared" si="432"/>
        <v>REL06</v>
      </c>
      <c r="I1250" s="1" t="str">
        <f t="shared" si="429"/>
        <v>P0601</v>
      </c>
      <c r="J1250" s="1" t="str">
        <f t="shared" si="430"/>
        <v>N01D</v>
      </c>
      <c r="K1250" s="1" t="str">
        <f t="shared" si="431"/>
        <v>N01C</v>
      </c>
      <c r="L1250" s="1" t="str">
        <f t="shared" si="415"/>
        <v>R</v>
      </c>
      <c r="M1250" s="1" t="str">
        <f t="shared" si="433"/>
        <v>T031</v>
      </c>
      <c r="N1250" s="1" t="str">
        <f t="shared" si="416"/>
        <v>Y</v>
      </c>
      <c r="O1250" s="1" t="str">
        <f t="shared" si="411"/>
        <v>Y</v>
      </c>
      <c r="P1250" s="1" t="str">
        <f t="shared" si="422"/>
        <v>Y</v>
      </c>
      <c r="Q1250" s="1" t="str">
        <f t="shared" si="412"/>
        <v>A</v>
      </c>
    </row>
    <row r="1251" spans="1:17" x14ac:dyDescent="0.3">
      <c r="A1251" s="1" t="str">
        <f t="shared" si="425"/>
        <v>DN</v>
      </c>
      <c r="B1251" s="1" t="str">
        <f>"GNSNDL104"</f>
        <v>GNSNDL104</v>
      </c>
      <c r="C1251" s="1" t="str">
        <f>"심혈관계(야간작업) 이상지질혈증 유소견"</f>
        <v>심혈관계(야간작업) 이상지질혈증 유소견</v>
      </c>
      <c r="D1251" s="1" t="s">
        <v>376</v>
      </c>
      <c r="E1251" s="1" t="str">
        <f t="shared" si="426"/>
        <v>WOK02</v>
      </c>
      <c r="F1251" s="1" t="str">
        <f t="shared" si="427"/>
        <v>PTM04</v>
      </c>
      <c r="G1251" s="1" t="str">
        <f t="shared" si="428"/>
        <v>DIS600</v>
      </c>
      <c r="H1251" s="1" t="str">
        <f t="shared" si="432"/>
        <v>REL06</v>
      </c>
      <c r="I1251" s="1" t="str">
        <f t="shared" si="429"/>
        <v>P0601</v>
      </c>
      <c r="J1251" s="1" t="str">
        <f t="shared" si="430"/>
        <v>N01D</v>
      </c>
      <c r="K1251" s="1" t="str">
        <f t="shared" si="431"/>
        <v>N01C</v>
      </c>
      <c r="L1251" s="1" t="str">
        <f t="shared" si="415"/>
        <v>R</v>
      </c>
      <c r="M1251" s="1" t="str">
        <f t="shared" si="433"/>
        <v>T031</v>
      </c>
      <c r="N1251" s="1" t="str">
        <f t="shared" si="416"/>
        <v>Y</v>
      </c>
      <c r="O1251" s="1" t="str">
        <f t="shared" si="411"/>
        <v>Y</v>
      </c>
      <c r="P1251" s="1" t="str">
        <f t="shared" si="422"/>
        <v>Y</v>
      </c>
      <c r="Q1251" s="1" t="str">
        <f t="shared" si="412"/>
        <v>A</v>
      </c>
    </row>
    <row r="1252" spans="1:17" x14ac:dyDescent="0.3">
      <c r="A1252" s="1" t="str">
        <f t="shared" si="425"/>
        <v>DN</v>
      </c>
      <c r="B1252" s="1" t="str">
        <f>"GNSNDL111"</f>
        <v>GNSNDL111</v>
      </c>
      <c r="C1252" s="1" t="str">
        <f>"심혈관계(야간작업) 이상지질혈증 유질환자"</f>
        <v>심혈관계(야간작업) 이상지질혈증 유질환자</v>
      </c>
      <c r="D1252" s="1" t="str">
        <f>"이상지질혈증이 잘 조절되고 있습니다. 지속적으로 관리하십시오."</f>
        <v>이상지질혈증이 잘 조절되고 있습니다. 지속적으로 관리하십시오.</v>
      </c>
      <c r="E1252" s="1" t="str">
        <f t="shared" si="426"/>
        <v>WOK02</v>
      </c>
      <c r="F1252" s="1" t="str">
        <f t="shared" si="427"/>
        <v>PTM04</v>
      </c>
      <c r="G1252" s="1" t="str">
        <f t="shared" si="428"/>
        <v>DIS600</v>
      </c>
      <c r="H1252" s="1" t="str">
        <f t="shared" si="432"/>
        <v>REL06</v>
      </c>
      <c r="I1252" s="1" t="str">
        <f t="shared" si="429"/>
        <v>P0601</v>
      </c>
      <c r="J1252" s="1" t="str">
        <f t="shared" si="430"/>
        <v>N01D</v>
      </c>
      <c r="K1252" s="1" t="str">
        <f t="shared" si="431"/>
        <v>N01C</v>
      </c>
      <c r="L1252" s="1" t="str">
        <f t="shared" si="415"/>
        <v>R</v>
      </c>
      <c r="M1252" s="1" t="str">
        <f t="shared" si="433"/>
        <v>T031</v>
      </c>
      <c r="N1252" s="1" t="str">
        <f t="shared" si="416"/>
        <v>Y</v>
      </c>
      <c r="O1252" s="1" t="str">
        <f t="shared" si="411"/>
        <v>Y</v>
      </c>
      <c r="P1252" s="1" t="str">
        <f t="shared" si="422"/>
        <v>Y</v>
      </c>
      <c r="Q1252" s="1" t="str">
        <f t="shared" si="412"/>
        <v>A</v>
      </c>
    </row>
    <row r="1253" spans="1:17" x14ac:dyDescent="0.3">
      <c r="A1253" s="1" t="str">
        <f t="shared" si="425"/>
        <v>DN</v>
      </c>
      <c r="B1253" s="1" t="str">
        <f>"GNSNDL112"</f>
        <v>GNSNDL112</v>
      </c>
      <c r="C1253" s="1" t="str">
        <f>"심혈관계(야간작업) 이상지질혈증 유질환자"</f>
        <v>심혈관계(야간작업) 이상지질혈증 유질환자</v>
      </c>
      <c r="D1253" s="1" t="str">
        <f>"경미한 혈중 지질 이상 소견이 관찰됩니다. 근무 후 충분한 수면과 휴식을 취하고 건강한 생활습관을 유지하시기 바랍니다."</f>
        <v>경미한 혈중 지질 이상 소견이 관찰됩니다. 근무 후 충분한 수면과 휴식을 취하고 건강한 생활습관을 유지하시기 바랍니다.</v>
      </c>
      <c r="E1253" s="1" t="str">
        <f t="shared" si="426"/>
        <v>WOK02</v>
      </c>
      <c r="F1253" s="1" t="str">
        <f t="shared" si="427"/>
        <v>PTM04</v>
      </c>
      <c r="G1253" s="1" t="str">
        <f t="shared" si="428"/>
        <v>DIS600</v>
      </c>
      <c r="H1253" s="1" t="str">
        <f t="shared" si="432"/>
        <v>REL06</v>
      </c>
      <c r="I1253" s="1" t="str">
        <f t="shared" si="429"/>
        <v>P0601</v>
      </c>
      <c r="J1253" s="1" t="str">
        <f t="shared" si="430"/>
        <v>N01D</v>
      </c>
      <c r="K1253" s="1" t="str">
        <f t="shared" si="431"/>
        <v>N01C</v>
      </c>
      <c r="L1253" s="1" t="str">
        <f t="shared" si="415"/>
        <v>R</v>
      </c>
      <c r="M1253" s="1" t="str">
        <f t="shared" si="433"/>
        <v>T031</v>
      </c>
      <c r="N1253" s="1" t="str">
        <f t="shared" si="416"/>
        <v>Y</v>
      </c>
      <c r="O1253" s="1" t="str">
        <f t="shared" si="411"/>
        <v>Y</v>
      </c>
      <c r="P1253" s="1" t="str">
        <f t="shared" si="422"/>
        <v>Y</v>
      </c>
      <c r="Q1253" s="1" t="str">
        <f t="shared" si="412"/>
        <v>A</v>
      </c>
    </row>
    <row r="1254" spans="1:17" x14ac:dyDescent="0.3">
      <c r="A1254" s="1" t="str">
        <f t="shared" si="425"/>
        <v>DN</v>
      </c>
      <c r="B1254" s="1" t="str">
        <f>"GNSNDL113"</f>
        <v>GNSNDL113</v>
      </c>
      <c r="C1254" s="1" t="str">
        <f>"심혈관계(야간작업) 이상지질혈증 유질환자"</f>
        <v>심혈관계(야간작업) 이상지질혈증 유질환자</v>
      </c>
      <c r="D1254" s="1" t="str">
        <f>"혈중 지질 이상 소견이 관찰됩니다. 병의원을 방문하여 더욱 철저히 관리 및 치료받으시기 바랍니다."</f>
        <v>혈중 지질 이상 소견이 관찰됩니다. 병의원을 방문하여 더욱 철저히 관리 및 치료받으시기 바랍니다.</v>
      </c>
      <c r="E1254" s="1" t="str">
        <f t="shared" si="426"/>
        <v>WOK02</v>
      </c>
      <c r="F1254" s="1" t="str">
        <f t="shared" si="427"/>
        <v>PTM04</v>
      </c>
      <c r="G1254" s="1" t="str">
        <f t="shared" si="428"/>
        <v>DIS600</v>
      </c>
      <c r="H1254" s="1" t="str">
        <f t="shared" si="432"/>
        <v>REL06</v>
      </c>
      <c r="I1254" s="1" t="str">
        <f t="shared" si="429"/>
        <v>P0601</v>
      </c>
      <c r="J1254" s="1" t="str">
        <f t="shared" si="430"/>
        <v>N01D</v>
      </c>
      <c r="K1254" s="1" t="str">
        <f t="shared" si="431"/>
        <v>N01C</v>
      </c>
      <c r="L1254" s="1" t="str">
        <f t="shared" si="415"/>
        <v>R</v>
      </c>
      <c r="M1254" s="1" t="str">
        <f t="shared" si="433"/>
        <v>T031</v>
      </c>
      <c r="N1254" s="1" t="str">
        <f t="shared" si="416"/>
        <v>Y</v>
      </c>
      <c r="O1254" s="1" t="str">
        <f t="shared" si="411"/>
        <v>Y</v>
      </c>
      <c r="P1254" s="1" t="str">
        <f t="shared" si="422"/>
        <v>Y</v>
      </c>
      <c r="Q1254" s="1" t="str">
        <f t="shared" si="412"/>
        <v>A</v>
      </c>
    </row>
    <row r="1255" spans="1:17" x14ac:dyDescent="0.3">
      <c r="A1255" s="1" t="str">
        <f t="shared" si="425"/>
        <v>DN</v>
      </c>
      <c r="B1255" s="1" t="str">
        <f>"GNSNDL114"</f>
        <v>GNSNDL114</v>
      </c>
      <c r="C1255" s="1" t="str">
        <f>"심혈관계(야간작업) 이상지질혈증 유질환자"</f>
        <v>심혈관계(야간작업) 이상지질혈증 유질환자</v>
      </c>
      <c r="D1255" s="1" t="s">
        <v>377</v>
      </c>
      <c r="E1255" s="1" t="str">
        <f t="shared" si="426"/>
        <v>WOK02</v>
      </c>
      <c r="F1255" s="1" t="str">
        <f t="shared" si="427"/>
        <v>PTM04</v>
      </c>
      <c r="G1255" s="1" t="str">
        <f t="shared" si="428"/>
        <v>DIS600</v>
      </c>
      <c r="H1255" s="1" t="str">
        <f t="shared" si="432"/>
        <v>REL06</v>
      </c>
      <c r="I1255" s="1" t="str">
        <f t="shared" si="429"/>
        <v>P0601</v>
      </c>
      <c r="J1255" s="1" t="str">
        <f t="shared" si="430"/>
        <v>N01D</v>
      </c>
      <c r="K1255" s="1" t="str">
        <f t="shared" si="431"/>
        <v>N01C</v>
      </c>
      <c r="L1255" s="1" t="str">
        <f t="shared" si="415"/>
        <v>R</v>
      </c>
      <c r="M1255" s="1" t="str">
        <f t="shared" si="433"/>
        <v>T031</v>
      </c>
      <c r="N1255" s="1" t="str">
        <f t="shared" si="416"/>
        <v>Y</v>
      </c>
      <c r="O1255" s="1" t="str">
        <f t="shared" si="411"/>
        <v>Y</v>
      </c>
      <c r="P1255" s="1" t="str">
        <f t="shared" si="422"/>
        <v>Y</v>
      </c>
      <c r="Q1255" s="1" t="str">
        <f t="shared" si="412"/>
        <v>A</v>
      </c>
    </row>
    <row r="1256" spans="1:17" x14ac:dyDescent="0.3">
      <c r="A1256" s="1" t="str">
        <f t="shared" si="425"/>
        <v>DN</v>
      </c>
      <c r="B1256" s="1" t="str">
        <f>"GNSNDL204"</f>
        <v>GNSNDL204</v>
      </c>
      <c r="C1256" s="1" t="str">
        <f>"이상지질혈증 질환"</f>
        <v>이상지질혈증 질환</v>
      </c>
      <c r="D1256" s="1" t="str">
        <f>"근무 중 치료가 필요한 상태입니다. 내과 또는 가정의학과 내원하여 진단 및 치료 바랍니다."</f>
        <v>근무 중 치료가 필요한 상태입니다. 내과 또는 가정의학과 내원하여 진단 및 치료 바랍니다.</v>
      </c>
      <c r="E1256" s="1" t="str">
        <f t="shared" si="426"/>
        <v>WOK02</v>
      </c>
      <c r="F1256" s="1" t="str">
        <f t="shared" si="427"/>
        <v>PTM04</v>
      </c>
      <c r="G1256" s="1" t="str">
        <f t="shared" si="428"/>
        <v>DIS600</v>
      </c>
      <c r="H1256" s="1" t="str">
        <f>"REL04"</f>
        <v>REL04</v>
      </c>
      <c r="I1256" s="1" t="str">
        <f t="shared" si="429"/>
        <v>P0601</v>
      </c>
      <c r="J1256" s="1" t="str">
        <f t="shared" si="430"/>
        <v>N01D</v>
      </c>
      <c r="K1256" s="1" t="str">
        <f t="shared" si="431"/>
        <v>N01C</v>
      </c>
      <c r="L1256" s="1" t="str">
        <f t="shared" si="415"/>
        <v>R</v>
      </c>
      <c r="M1256" s="1" t="str">
        <f t="shared" si="433"/>
        <v>T031</v>
      </c>
      <c r="N1256" s="1" t="str">
        <f t="shared" si="416"/>
        <v>Y</v>
      </c>
      <c r="O1256" s="1" t="str">
        <f t="shared" si="411"/>
        <v>Y</v>
      </c>
      <c r="P1256" s="1" t="str">
        <f t="shared" si="422"/>
        <v>Y</v>
      </c>
      <c r="Q1256" s="1" t="str">
        <f t="shared" si="412"/>
        <v>A</v>
      </c>
    </row>
    <row r="1257" spans="1:17" x14ac:dyDescent="0.3">
      <c r="A1257" s="1" t="str">
        <f t="shared" si="425"/>
        <v>DN</v>
      </c>
      <c r="B1257" s="1" t="str">
        <f>"GNSNDL211"</f>
        <v>GNSNDL211</v>
      </c>
      <c r="C1257" s="1" t="str">
        <f>"(심혈관계(야간작업) 지질) 이상지질혈증 유질환자"</f>
        <v>(심혈관계(야간작업) 지질) 이상지질혈증 유질환자</v>
      </c>
      <c r="D1257" s="1" t="str">
        <f>"혈중 지질이 잘 조절되고 있습니다. 지속적으로 관리하십시오."</f>
        <v>혈중 지질이 잘 조절되고 있습니다. 지속적으로 관리하십시오.</v>
      </c>
      <c r="E1257" s="1" t="str">
        <f t="shared" si="426"/>
        <v>WOK02</v>
      </c>
      <c r="F1257" s="1" t="str">
        <f t="shared" si="427"/>
        <v>PTM04</v>
      </c>
      <c r="G1257" s="1" t="str">
        <f t="shared" si="428"/>
        <v>DIS600</v>
      </c>
      <c r="H1257" s="1" t="str">
        <f t="shared" ref="H1257:H1262" si="434">"REL06"</f>
        <v>REL06</v>
      </c>
      <c r="I1257" s="1" t="str">
        <f t="shared" si="429"/>
        <v>P0601</v>
      </c>
      <c r="J1257" s="1" t="str">
        <f t="shared" si="430"/>
        <v>N01D</v>
      </c>
      <c r="K1257" s="1" t="str">
        <f t="shared" si="431"/>
        <v>N01C</v>
      </c>
      <c r="L1257" s="1" t="str">
        <f t="shared" si="415"/>
        <v>R</v>
      </c>
      <c r="M1257" s="1" t="str">
        <f t="shared" si="433"/>
        <v>T031</v>
      </c>
      <c r="N1257" s="1" t="str">
        <f t="shared" si="416"/>
        <v>Y</v>
      </c>
      <c r="O1257" s="1" t="str">
        <f t="shared" si="411"/>
        <v>Y</v>
      </c>
      <c r="P1257" s="1" t="str">
        <f t="shared" si="422"/>
        <v>Y</v>
      </c>
      <c r="Q1257" s="1" t="str">
        <f t="shared" si="412"/>
        <v>A</v>
      </c>
    </row>
    <row r="1258" spans="1:17" x14ac:dyDescent="0.3">
      <c r="A1258" s="1" t="str">
        <f t="shared" si="425"/>
        <v>DN</v>
      </c>
      <c r="B1258" s="1" t="str">
        <f>"GNSNDL212"</f>
        <v>GNSNDL212</v>
      </c>
      <c r="C1258" s="1" t="str">
        <f>"(심혈관계(야간작업) 지질) 이상지질혈증 유질환자"</f>
        <v>(심혈관계(야간작업) 지질) 이상지질혈증 유질환자</v>
      </c>
      <c r="D1258" s="1" t="str">
        <f>"경미한 혈중 지질 이상 소견이 관찰됩니다. 근무 후 충분한 수면과 휴식을 취하고 건강한 생활습관을 유지하시기 바랍니다."</f>
        <v>경미한 혈중 지질 이상 소견이 관찰됩니다. 근무 후 충분한 수면과 휴식을 취하고 건강한 생활습관을 유지하시기 바랍니다.</v>
      </c>
      <c r="E1258" s="1" t="str">
        <f t="shared" si="426"/>
        <v>WOK02</v>
      </c>
      <c r="F1258" s="1" t="str">
        <f t="shared" si="427"/>
        <v>PTM04</v>
      </c>
      <c r="G1258" s="1" t="str">
        <f t="shared" si="428"/>
        <v>DIS600</v>
      </c>
      <c r="H1258" s="1" t="str">
        <f t="shared" si="434"/>
        <v>REL06</v>
      </c>
      <c r="I1258" s="1" t="str">
        <f t="shared" si="429"/>
        <v>P0601</v>
      </c>
      <c r="J1258" s="1" t="str">
        <f t="shared" si="430"/>
        <v>N01D</v>
      </c>
      <c r="K1258" s="1" t="str">
        <f t="shared" si="431"/>
        <v>N01C</v>
      </c>
      <c r="L1258" s="1" t="str">
        <f t="shared" si="415"/>
        <v>R</v>
      </c>
      <c r="M1258" s="1" t="str">
        <f t="shared" si="433"/>
        <v>T031</v>
      </c>
      <c r="N1258" s="1" t="str">
        <f t="shared" si="416"/>
        <v>Y</v>
      </c>
      <c r="O1258" s="1" t="str">
        <f t="shared" si="411"/>
        <v>Y</v>
      </c>
      <c r="P1258" s="1" t="str">
        <f t="shared" si="422"/>
        <v>Y</v>
      </c>
      <c r="Q1258" s="1" t="str">
        <f t="shared" si="412"/>
        <v>A</v>
      </c>
    </row>
    <row r="1259" spans="1:17" x14ac:dyDescent="0.3">
      <c r="A1259" s="1" t="str">
        <f t="shared" si="425"/>
        <v>DN</v>
      </c>
      <c r="B1259" s="1" t="str">
        <f>"GNSNDL213"</f>
        <v>GNSNDL213</v>
      </c>
      <c r="C1259" s="1" t="str">
        <f>"(심혈관계(야간작업) 지질) 이상지질혈증 유질환자"</f>
        <v>(심혈관계(야간작업) 지질) 이상지질혈증 유질환자</v>
      </c>
      <c r="D1259" s="1" t="str">
        <f>"혈중 지질 이상 소견이 관찰됩니다. 병의원을 방문하여 더욱 철저히 관리 및 치료받으시기 바랍니다."</f>
        <v>혈중 지질 이상 소견이 관찰됩니다. 병의원을 방문하여 더욱 철저히 관리 및 치료받으시기 바랍니다.</v>
      </c>
      <c r="E1259" s="1" t="str">
        <f t="shared" si="426"/>
        <v>WOK02</v>
      </c>
      <c r="F1259" s="1" t="str">
        <f t="shared" si="427"/>
        <v>PTM04</v>
      </c>
      <c r="G1259" s="1" t="str">
        <f t="shared" si="428"/>
        <v>DIS600</v>
      </c>
      <c r="H1259" s="1" t="str">
        <f t="shared" si="434"/>
        <v>REL06</v>
      </c>
      <c r="I1259" s="1" t="str">
        <f t="shared" si="429"/>
        <v>P0601</v>
      </c>
      <c r="J1259" s="1" t="str">
        <f t="shared" si="430"/>
        <v>N01D</v>
      </c>
      <c r="K1259" s="1" t="str">
        <f t="shared" si="431"/>
        <v>N01C</v>
      </c>
      <c r="L1259" s="1" t="str">
        <f t="shared" si="415"/>
        <v>R</v>
      </c>
      <c r="M1259" s="1" t="str">
        <f t="shared" si="433"/>
        <v>T031</v>
      </c>
      <c r="N1259" s="1" t="str">
        <f t="shared" si="416"/>
        <v>Y</v>
      </c>
      <c r="O1259" s="1" t="str">
        <f t="shared" si="411"/>
        <v>Y</v>
      </c>
      <c r="P1259" s="1" t="str">
        <f t="shared" si="422"/>
        <v>Y</v>
      </c>
      <c r="Q1259" s="1" t="str">
        <f t="shared" si="412"/>
        <v>A</v>
      </c>
    </row>
    <row r="1260" spans="1:17" x14ac:dyDescent="0.3">
      <c r="A1260" s="1" t="str">
        <f t="shared" si="425"/>
        <v>DN</v>
      </c>
      <c r="B1260" s="1" t="str">
        <f>"GNSNDL214"</f>
        <v>GNSNDL214</v>
      </c>
      <c r="C1260" s="1" t="str">
        <f>"(심혈관계(야간작업) 지질) 이상지질혈증 유질환자"</f>
        <v>(심혈관계(야간작업) 지질) 이상지질혈증 유질환자</v>
      </c>
      <c r="D1260" s="1" t="s">
        <v>377</v>
      </c>
      <c r="E1260" s="1" t="str">
        <f t="shared" si="426"/>
        <v>WOK02</v>
      </c>
      <c r="F1260" s="1" t="str">
        <f t="shared" si="427"/>
        <v>PTM04</v>
      </c>
      <c r="G1260" s="1" t="str">
        <f t="shared" si="428"/>
        <v>DIS600</v>
      </c>
      <c r="H1260" s="1" t="str">
        <f t="shared" si="434"/>
        <v>REL06</v>
      </c>
      <c r="I1260" s="1" t="str">
        <f t="shared" si="429"/>
        <v>P0601</v>
      </c>
      <c r="J1260" s="1" t="str">
        <f t="shared" si="430"/>
        <v>N01D</v>
      </c>
      <c r="K1260" s="1" t="str">
        <f t="shared" si="431"/>
        <v>N01C</v>
      </c>
      <c r="L1260" s="1" t="str">
        <f t="shared" si="415"/>
        <v>R</v>
      </c>
      <c r="M1260" s="1" t="str">
        <f t="shared" si="433"/>
        <v>T031</v>
      </c>
      <c r="N1260" s="1" t="str">
        <f t="shared" si="416"/>
        <v>Y</v>
      </c>
      <c r="O1260" s="1" t="str">
        <f t="shared" si="411"/>
        <v>Y</v>
      </c>
      <c r="P1260" s="1" t="str">
        <f t="shared" si="422"/>
        <v>Y</v>
      </c>
      <c r="Q1260" s="1" t="str">
        <f t="shared" si="412"/>
        <v>A</v>
      </c>
    </row>
    <row r="1261" spans="1:17" x14ac:dyDescent="0.3">
      <c r="A1261" s="1" t="str">
        <f t="shared" si="425"/>
        <v>DN</v>
      </c>
      <c r="B1261" s="1" t="str">
        <f>"GNSNDM111"</f>
        <v>GNSNDM111</v>
      </c>
      <c r="C1261" s="1" t="str">
        <f>"심혈관계(야간작업) 당뇨병 유질환자"</f>
        <v>심혈관계(야간작업) 당뇨병 유질환자</v>
      </c>
      <c r="D1261" s="1" t="str">
        <f>"당뇨병이 잘 조절되고 있습니다. 지속적으로 관리하십시오."</f>
        <v>당뇨병이 잘 조절되고 있습니다. 지속적으로 관리하십시오.</v>
      </c>
      <c r="E1261" s="1" t="str">
        <f t="shared" si="426"/>
        <v>WOK02</v>
      </c>
      <c r="F1261" s="1" t="str">
        <f t="shared" si="427"/>
        <v>PTM04</v>
      </c>
      <c r="G1261" s="1" t="str">
        <f t="shared" si="428"/>
        <v>DIS600</v>
      </c>
      <c r="H1261" s="1" t="str">
        <f t="shared" si="434"/>
        <v>REL06</v>
      </c>
      <c r="I1261" s="1" t="str">
        <f t="shared" si="429"/>
        <v>P0601</v>
      </c>
      <c r="J1261" s="1" t="str">
        <f t="shared" si="430"/>
        <v>N01D</v>
      </c>
      <c r="K1261" s="1" t="str">
        <f t="shared" si="431"/>
        <v>N01C</v>
      </c>
      <c r="L1261" s="1" t="str">
        <f t="shared" si="415"/>
        <v>R</v>
      </c>
      <c r="M1261" s="1" t="str">
        <f t="shared" si="433"/>
        <v>T031</v>
      </c>
      <c r="N1261" s="1" t="str">
        <f t="shared" si="416"/>
        <v>Y</v>
      </c>
      <c r="O1261" s="1" t="str">
        <f t="shared" si="411"/>
        <v>Y</v>
      </c>
      <c r="P1261" s="1" t="str">
        <f t="shared" si="422"/>
        <v>Y</v>
      </c>
      <c r="Q1261" s="1" t="str">
        <f t="shared" si="412"/>
        <v>A</v>
      </c>
    </row>
    <row r="1262" spans="1:17" x14ac:dyDescent="0.3">
      <c r="A1262" s="1" t="str">
        <f t="shared" si="425"/>
        <v>DN</v>
      </c>
      <c r="B1262" s="1" t="str">
        <f>"GNSNDM112"</f>
        <v>GNSNDM112</v>
      </c>
      <c r="C1262" s="1" t="str">
        <f>"심혈관계(야간작업) 당뇨병 유질환자"</f>
        <v>심혈관계(야간작업) 당뇨병 유질환자</v>
      </c>
      <c r="D1262" s="1" t="str">
        <f>"공복혈당 수치가 다소 증가되어 있습니다. 근무 후 충분한 수면과 휴식을 취하고 건강한 생활습관을 유지하시기 바랍니다."</f>
        <v>공복혈당 수치가 다소 증가되어 있습니다. 근무 후 충분한 수면과 휴식을 취하고 건강한 생활습관을 유지하시기 바랍니다.</v>
      </c>
      <c r="E1262" s="1" t="str">
        <f t="shared" si="426"/>
        <v>WOK02</v>
      </c>
      <c r="F1262" s="1" t="str">
        <f t="shared" si="427"/>
        <v>PTM04</v>
      </c>
      <c r="G1262" s="1" t="str">
        <f t="shared" si="428"/>
        <v>DIS600</v>
      </c>
      <c r="H1262" s="1" t="str">
        <f t="shared" si="434"/>
        <v>REL06</v>
      </c>
      <c r="I1262" s="1" t="str">
        <f t="shared" si="429"/>
        <v>P0601</v>
      </c>
      <c r="J1262" s="1" t="str">
        <f t="shared" si="430"/>
        <v>N01D</v>
      </c>
      <c r="K1262" s="1" t="str">
        <f t="shared" si="431"/>
        <v>N01C</v>
      </c>
      <c r="L1262" s="1" t="str">
        <f t="shared" si="415"/>
        <v>R</v>
      </c>
      <c r="M1262" s="1" t="str">
        <f t="shared" si="433"/>
        <v>T031</v>
      </c>
      <c r="N1262" s="1" t="str">
        <f t="shared" si="416"/>
        <v>Y</v>
      </c>
      <c r="O1262" s="1" t="str">
        <f t="shared" si="411"/>
        <v>Y</v>
      </c>
      <c r="P1262" s="1" t="str">
        <f t="shared" si="422"/>
        <v>Y</v>
      </c>
      <c r="Q1262" s="1" t="str">
        <f t="shared" si="412"/>
        <v>A</v>
      </c>
    </row>
    <row r="1263" spans="1:17" x14ac:dyDescent="0.3">
      <c r="A1263" s="1" t="str">
        <f t="shared" si="425"/>
        <v>DN</v>
      </c>
      <c r="B1263" s="1" t="str">
        <f>"GNSNDM204"</f>
        <v>GNSNDM204</v>
      </c>
      <c r="C1263" s="1" t="str">
        <f>"당뇨병 유질환자"</f>
        <v>당뇨병 유질환자</v>
      </c>
      <c r="D1263" s="1" t="str">
        <f>"근무 중 치료가 필요한 상태입니다. 내과 또는 가정의학과 내원하여 진단 및 치료 바랍니다."</f>
        <v>근무 중 치료가 필요한 상태입니다. 내과 또는 가정의학과 내원하여 진단 및 치료 바랍니다.</v>
      </c>
      <c r="E1263" s="1" t="str">
        <f t="shared" si="426"/>
        <v>WOK02</v>
      </c>
      <c r="F1263" s="1" t="str">
        <f t="shared" si="427"/>
        <v>PTM04</v>
      </c>
      <c r="G1263" s="1" t="str">
        <f t="shared" si="428"/>
        <v>DIS600</v>
      </c>
      <c r="H1263" s="1" t="str">
        <f>"REL07"</f>
        <v>REL07</v>
      </c>
      <c r="I1263" s="1" t="str">
        <f t="shared" si="429"/>
        <v>P0601</v>
      </c>
      <c r="J1263" s="1" t="str">
        <f t="shared" si="430"/>
        <v>N01D</v>
      </c>
      <c r="K1263" s="1" t="str">
        <f t="shared" si="431"/>
        <v>N01C</v>
      </c>
      <c r="L1263" s="1" t="str">
        <f t="shared" si="415"/>
        <v>R</v>
      </c>
      <c r="M1263" s="1" t="str">
        <f t="shared" si="433"/>
        <v>T031</v>
      </c>
      <c r="N1263" s="1" t="str">
        <f t="shared" si="416"/>
        <v>Y</v>
      </c>
      <c r="O1263" s="1" t="str">
        <f t="shared" si="411"/>
        <v>Y</v>
      </c>
      <c r="P1263" s="1" t="str">
        <f t="shared" si="422"/>
        <v>Y</v>
      </c>
      <c r="Q1263" s="1" t="str">
        <f t="shared" si="412"/>
        <v>A</v>
      </c>
    </row>
    <row r="1264" spans="1:17" x14ac:dyDescent="0.3">
      <c r="A1264" s="1" t="str">
        <f t="shared" si="425"/>
        <v>DN</v>
      </c>
      <c r="B1264" s="1" t="str">
        <f>"GNSNDM211"</f>
        <v>GNSNDM211</v>
      </c>
      <c r="C1264" s="1" t="str">
        <f>"(심혈관계(야간작업) 혈당) 당뇨병 유질환자"</f>
        <v>(심혈관계(야간작업) 혈당) 당뇨병 유질환자</v>
      </c>
      <c r="D1264" s="1" t="str">
        <f>"혈당이 잘 조절되고 있습니다. 지속적으로 관리하십시오."</f>
        <v>혈당이 잘 조절되고 있습니다. 지속적으로 관리하십시오.</v>
      </c>
      <c r="E1264" s="1" t="str">
        <f t="shared" si="426"/>
        <v>WOK02</v>
      </c>
      <c r="F1264" s="1" t="str">
        <f t="shared" si="427"/>
        <v>PTM04</v>
      </c>
      <c r="G1264" s="1" t="str">
        <f t="shared" si="428"/>
        <v>DIS600</v>
      </c>
      <c r="H1264" s="1" t="str">
        <f>"REL06"</f>
        <v>REL06</v>
      </c>
      <c r="I1264" s="1" t="str">
        <f t="shared" si="429"/>
        <v>P0601</v>
      </c>
      <c r="J1264" s="1" t="str">
        <f t="shared" si="430"/>
        <v>N01D</v>
      </c>
      <c r="K1264" s="1" t="str">
        <f t="shared" si="431"/>
        <v>N01C</v>
      </c>
      <c r="L1264" s="1" t="str">
        <f t="shared" si="415"/>
        <v>R</v>
      </c>
      <c r="M1264" s="1" t="str">
        <f t="shared" si="433"/>
        <v>T031</v>
      </c>
      <c r="N1264" s="1" t="str">
        <f t="shared" si="416"/>
        <v>Y</v>
      </c>
      <c r="O1264" s="1" t="str">
        <f t="shared" si="411"/>
        <v>Y</v>
      </c>
      <c r="P1264" s="1" t="str">
        <f t="shared" si="422"/>
        <v>Y</v>
      </c>
      <c r="Q1264" s="1" t="str">
        <f t="shared" si="412"/>
        <v>A</v>
      </c>
    </row>
    <row r="1265" spans="1:17" x14ac:dyDescent="0.3">
      <c r="A1265" s="1" t="str">
        <f t="shared" si="425"/>
        <v>DN</v>
      </c>
      <c r="B1265" s="1" t="str">
        <f>"GNSNDM212"</f>
        <v>GNSNDM212</v>
      </c>
      <c r="C1265" s="1" t="str">
        <f>"(심혈관계(야간작업) 혈당) 당뇨병 유질환자"</f>
        <v>(심혈관계(야간작업) 혈당) 당뇨병 유질환자</v>
      </c>
      <c r="D1265" s="1" t="str">
        <f>"당뇨 검사 수치가 다소 증가되어 있습니다. 근무 후 충분한 수면과 휴식을 취하고 건강한 생활습관을 유지하시기 바랍니다."</f>
        <v>당뇨 검사 수치가 다소 증가되어 있습니다. 근무 후 충분한 수면과 휴식을 취하고 건강한 생활습관을 유지하시기 바랍니다.</v>
      </c>
      <c r="E1265" s="1" t="str">
        <f t="shared" si="426"/>
        <v>WOK02</v>
      </c>
      <c r="F1265" s="1" t="str">
        <f t="shared" si="427"/>
        <v>PTM04</v>
      </c>
      <c r="G1265" s="1" t="str">
        <f t="shared" si="428"/>
        <v>DIS600</v>
      </c>
      <c r="H1265" s="1" t="str">
        <f>"REL06"</f>
        <v>REL06</v>
      </c>
      <c r="I1265" s="1" t="str">
        <f t="shared" si="429"/>
        <v>P0601</v>
      </c>
      <c r="J1265" s="1" t="str">
        <f t="shared" si="430"/>
        <v>N01D</v>
      </c>
      <c r="K1265" s="1" t="str">
        <f t="shared" si="431"/>
        <v>N01C</v>
      </c>
      <c r="L1265" s="1" t="str">
        <f t="shared" si="415"/>
        <v>R</v>
      </c>
      <c r="M1265" s="1" t="str">
        <f t="shared" si="433"/>
        <v>T031</v>
      </c>
      <c r="N1265" s="1" t="str">
        <f t="shared" si="416"/>
        <v>Y</v>
      </c>
      <c r="O1265" s="1" t="str">
        <f t="shared" si="411"/>
        <v>Y</v>
      </c>
      <c r="P1265" s="1" t="str">
        <f t="shared" si="422"/>
        <v>Y</v>
      </c>
      <c r="Q1265" s="1" t="str">
        <f t="shared" si="412"/>
        <v>A</v>
      </c>
    </row>
    <row r="1266" spans="1:17" x14ac:dyDescent="0.3">
      <c r="A1266" s="1" t="str">
        <f t="shared" si="425"/>
        <v>DN</v>
      </c>
      <c r="B1266" s="1" t="str">
        <f>"GNSNDM213"</f>
        <v>GNSNDM213</v>
      </c>
      <c r="C1266" s="1" t="str">
        <f>"(심혈관계(야간작업) 혈당) 당뇨병 유질환자"</f>
        <v>(심혈관계(야간작업) 혈당) 당뇨병 유질환자</v>
      </c>
      <c r="D1266" s="1" t="str">
        <f>"당뇨 수치 상승 소견이 관찰됩니다. 병의원을 방문하여 더욱 철저히 관리 및 치료받으시기 바랍니다."</f>
        <v>당뇨 수치 상승 소견이 관찰됩니다. 병의원을 방문하여 더욱 철저히 관리 및 치료받으시기 바랍니다.</v>
      </c>
      <c r="E1266" s="1" t="str">
        <f t="shared" si="426"/>
        <v>WOK02</v>
      </c>
      <c r="F1266" s="1" t="str">
        <f t="shared" si="427"/>
        <v>PTM04</v>
      </c>
      <c r="G1266" s="1" t="str">
        <f t="shared" si="428"/>
        <v>DIS600</v>
      </c>
      <c r="H1266" s="1" t="str">
        <f>"REL06"</f>
        <v>REL06</v>
      </c>
      <c r="I1266" s="1" t="str">
        <f t="shared" si="429"/>
        <v>P0601</v>
      </c>
      <c r="J1266" s="1" t="str">
        <f t="shared" si="430"/>
        <v>N01D</v>
      </c>
      <c r="K1266" s="1" t="str">
        <f t="shared" si="431"/>
        <v>N01C</v>
      </c>
      <c r="L1266" s="1" t="str">
        <f t="shared" si="415"/>
        <v>R</v>
      </c>
      <c r="M1266" s="1" t="str">
        <f t="shared" si="433"/>
        <v>T031</v>
      </c>
      <c r="N1266" s="1" t="str">
        <f t="shared" si="416"/>
        <v>Y</v>
      </c>
      <c r="O1266" s="1" t="str">
        <f t="shared" si="411"/>
        <v>Y</v>
      </c>
      <c r="P1266" s="1" t="str">
        <f t="shared" si="422"/>
        <v>Y</v>
      </c>
      <c r="Q1266" s="1" t="str">
        <f t="shared" si="412"/>
        <v>A</v>
      </c>
    </row>
    <row r="1267" spans="1:17" x14ac:dyDescent="0.3">
      <c r="A1267" s="1" t="str">
        <f t="shared" si="425"/>
        <v>DN</v>
      </c>
      <c r="B1267" s="1" t="str">
        <f>"GNSNDM214"</f>
        <v>GNSNDM214</v>
      </c>
      <c r="C1267" s="1" t="str">
        <f>"당뇨병 질환"</f>
        <v>당뇨병 질환</v>
      </c>
      <c r="D1267" s="1" t="s">
        <v>378</v>
      </c>
      <c r="E1267" s="1" t="str">
        <f t="shared" si="426"/>
        <v>WOK02</v>
      </c>
      <c r="F1267" s="1" t="str">
        <f t="shared" si="427"/>
        <v>PTM04</v>
      </c>
      <c r="G1267" s="1" t="str">
        <f t="shared" si="428"/>
        <v>DIS600</v>
      </c>
      <c r="H1267" s="1" t="str">
        <f>"REL07"</f>
        <v>REL07</v>
      </c>
      <c r="I1267" s="1" t="str">
        <f t="shared" si="429"/>
        <v>P0601</v>
      </c>
      <c r="J1267" s="1" t="str">
        <f t="shared" si="430"/>
        <v>N01D</v>
      </c>
      <c r="K1267" s="1" t="str">
        <f t="shared" si="431"/>
        <v>N01C</v>
      </c>
      <c r="L1267" s="1" t="str">
        <f t="shared" si="415"/>
        <v>R</v>
      </c>
      <c r="M1267" s="1" t="str">
        <f t="shared" si="433"/>
        <v>T031</v>
      </c>
      <c r="N1267" s="1" t="str">
        <f t="shared" si="416"/>
        <v>Y</v>
      </c>
      <c r="O1267" s="1" t="str">
        <f t="shared" si="411"/>
        <v>Y</v>
      </c>
      <c r="P1267" s="1" t="str">
        <f t="shared" si="422"/>
        <v>Y</v>
      </c>
      <c r="Q1267" s="1" t="str">
        <f t="shared" si="412"/>
        <v>A</v>
      </c>
    </row>
    <row r="1268" spans="1:17" x14ac:dyDescent="0.3">
      <c r="A1268" s="1" t="str">
        <f t="shared" si="425"/>
        <v>DN</v>
      </c>
      <c r="B1268" s="1" t="str">
        <f>"GNSNDM215"</f>
        <v>GNSNDM215</v>
      </c>
      <c r="C1268" s="1" t="str">
        <f>"당뇨병 질환"</f>
        <v>당뇨병 질환</v>
      </c>
      <c r="D1268" s="1" t="s">
        <v>379</v>
      </c>
      <c r="E1268" s="1" t="str">
        <f t="shared" si="426"/>
        <v>WOK02</v>
      </c>
      <c r="F1268" s="1" t="str">
        <f t="shared" si="427"/>
        <v>PTM04</v>
      </c>
      <c r="G1268" s="1" t="str">
        <f t="shared" si="428"/>
        <v>DIS600</v>
      </c>
      <c r="H1268" s="1" t="str">
        <f>"REL07"</f>
        <v>REL07</v>
      </c>
      <c r="I1268" s="1" t="str">
        <f t="shared" si="429"/>
        <v>P0601</v>
      </c>
      <c r="J1268" s="1" t="str">
        <f t="shared" si="430"/>
        <v>N01D</v>
      </c>
      <c r="K1268" s="1" t="str">
        <f t="shared" si="431"/>
        <v>N01C</v>
      </c>
      <c r="L1268" s="1" t="str">
        <f t="shared" si="415"/>
        <v>R</v>
      </c>
      <c r="M1268" s="1" t="str">
        <f t="shared" si="433"/>
        <v>T031</v>
      </c>
      <c r="N1268" s="1" t="str">
        <f t="shared" si="416"/>
        <v>Y</v>
      </c>
      <c r="O1268" s="1" t="str">
        <f t="shared" si="411"/>
        <v>Y</v>
      </c>
      <c r="P1268" s="1" t="str">
        <f t="shared" si="422"/>
        <v>Y</v>
      </c>
      <c r="Q1268" s="1" t="str">
        <f t="shared" si="412"/>
        <v>A</v>
      </c>
    </row>
    <row r="1269" spans="1:17" x14ac:dyDescent="0.3">
      <c r="A1269" s="1" t="str">
        <f t="shared" si="425"/>
        <v>DN</v>
      </c>
      <c r="B1269" s="1" t="str">
        <f>"GNSNGI204"</f>
        <v>GNSNGI204</v>
      </c>
      <c r="C1269" s="1" t="str">
        <f>"(위장관계(야간작업) 위장관장애) 유소견"</f>
        <v>(위장관계(야간작업) 위장관장애) 유소견</v>
      </c>
      <c r="D1269" s="1" t="str">
        <f>"위장관질환이 확인됩니다. 병의원을 방문하여 보다 정확한 진단 및 치료를 받으시기 바랍니다."</f>
        <v>위장관질환이 확인됩니다. 병의원을 방문하여 보다 정확한 진단 및 치료를 받으시기 바랍니다.</v>
      </c>
      <c r="E1269" s="1" t="str">
        <f t="shared" si="426"/>
        <v>WOK02</v>
      </c>
      <c r="F1269" s="1" t="str">
        <f t="shared" si="427"/>
        <v>PTM04</v>
      </c>
      <c r="G1269" s="1" t="str">
        <f t="shared" si="428"/>
        <v>DIS600</v>
      </c>
      <c r="H1269" s="1" t="str">
        <f>"REL37"</f>
        <v>REL37</v>
      </c>
      <c r="I1269" s="1" t="str">
        <f t="shared" si="429"/>
        <v>P0601</v>
      </c>
      <c r="J1269" s="1" t="str">
        <f t="shared" si="430"/>
        <v>N01D</v>
      </c>
      <c r="K1269" s="1" t="str">
        <f t="shared" si="431"/>
        <v>N01C</v>
      </c>
      <c r="L1269" s="1" t="str">
        <f t="shared" si="415"/>
        <v>R</v>
      </c>
      <c r="M1269" s="1" t="str">
        <f>"T201"</f>
        <v>T201</v>
      </c>
      <c r="N1269" s="1" t="str">
        <f t="shared" si="416"/>
        <v>Y</v>
      </c>
      <c r="O1269" s="1" t="str">
        <f t="shared" si="411"/>
        <v>Y</v>
      </c>
      <c r="P1269" s="1" t="str">
        <f t="shared" si="422"/>
        <v>Y</v>
      </c>
      <c r="Q1269" s="1" t="str">
        <f t="shared" si="412"/>
        <v>A</v>
      </c>
    </row>
    <row r="1270" spans="1:17" x14ac:dyDescent="0.3">
      <c r="A1270" s="1" t="str">
        <f t="shared" si="425"/>
        <v>DN</v>
      </c>
      <c r="B1270" s="1" t="str">
        <f>"GNSNSD204"</f>
        <v>GNSNSD204</v>
      </c>
      <c r="C1270" s="1" t="str">
        <f>"(신경계(야간작업) 수면장애) 유소견"</f>
        <v>(신경계(야간작업) 수면장애) 유소견</v>
      </c>
      <c r="D1270" s="1" t="s">
        <v>380</v>
      </c>
      <c r="E1270" s="1" t="str">
        <f t="shared" ref="E1270:E1286" si="435">"WOK02"</f>
        <v>WOK02</v>
      </c>
      <c r="F1270" s="1" t="str">
        <f t="shared" si="427"/>
        <v>PTM04</v>
      </c>
      <c r="G1270" s="1" t="str">
        <f t="shared" si="428"/>
        <v>DIS600</v>
      </c>
      <c r="H1270" s="1" t="str">
        <f>"REL21"</f>
        <v>REL21</v>
      </c>
      <c r="I1270" s="1" t="str">
        <f t="shared" si="429"/>
        <v>P0601</v>
      </c>
      <c r="J1270" s="1" t="str">
        <f t="shared" si="430"/>
        <v>N01D</v>
      </c>
      <c r="K1270" s="1" t="str">
        <f t="shared" si="431"/>
        <v>N01C</v>
      </c>
      <c r="L1270" s="1" t="str">
        <f t="shared" si="415"/>
        <v>R</v>
      </c>
      <c r="M1270" s="1" t="str">
        <f>"T061"</f>
        <v>T061</v>
      </c>
      <c r="N1270" s="1" t="str">
        <f t="shared" si="416"/>
        <v>Y</v>
      </c>
      <c r="O1270" s="1" t="str">
        <f t="shared" si="411"/>
        <v>Y</v>
      </c>
      <c r="P1270" s="1" t="str">
        <f t="shared" si="422"/>
        <v>Y</v>
      </c>
      <c r="Q1270" s="1" t="str">
        <f t="shared" si="412"/>
        <v>A</v>
      </c>
    </row>
    <row r="1271" spans="1:17" x14ac:dyDescent="0.3">
      <c r="A1271" s="1" t="str">
        <f t="shared" si="425"/>
        <v>DN</v>
      </c>
      <c r="B1271" s="1" t="str">
        <f>"HPT601DN"</f>
        <v>HPT601DN</v>
      </c>
      <c r="C1271" s="1" t="str">
        <f>"고혈압 유질환자(야간)"</f>
        <v>고혈압 유질환자(야간)</v>
      </c>
      <c r="D1271" s="1" t="str">
        <f>"야간작업은 심혈관계에 영향을 줄 수 있으므로 고혈압을 잘 조절해야 합니다. 진료받고 있는 의사와 상의하십시요."</f>
        <v>야간작업은 심혈관계에 영향을 줄 수 있으므로 고혈압을 잘 조절해야 합니다. 진료받고 있는 의사와 상의하십시요.</v>
      </c>
      <c r="E1271" s="1" t="str">
        <f t="shared" si="435"/>
        <v>WOK02</v>
      </c>
      <c r="F1271" s="1" t="str">
        <f t="shared" si="427"/>
        <v>PTM04</v>
      </c>
      <c r="G1271" s="1" t="str">
        <f t="shared" si="428"/>
        <v>DIS600</v>
      </c>
      <c r="H1271" s="1" t="str">
        <f>"REL03"</f>
        <v>REL03</v>
      </c>
      <c r="I1271" s="1" t="str">
        <f>""</f>
        <v/>
      </c>
      <c r="J1271" s="1" t="str">
        <f t="shared" si="430"/>
        <v>N01D</v>
      </c>
      <c r="K1271" s="1" t="str">
        <f t="shared" si="431"/>
        <v>N01C</v>
      </c>
      <c r="L1271" s="1" t="str">
        <f t="shared" si="415"/>
        <v>R</v>
      </c>
      <c r="M1271" s="1" t="str">
        <f>"T031"</f>
        <v>T031</v>
      </c>
      <c r="N1271" s="1" t="str">
        <f t="shared" si="416"/>
        <v>Y</v>
      </c>
      <c r="O1271" s="1" t="str">
        <f t="shared" si="411"/>
        <v>Y</v>
      </c>
      <c r="P1271" s="1" t="str">
        <f t="shared" si="422"/>
        <v>Y</v>
      </c>
      <c r="Q1271" s="1" t="str">
        <f t="shared" si="412"/>
        <v>A</v>
      </c>
    </row>
    <row r="1272" spans="1:17" x14ac:dyDescent="0.3">
      <c r="A1272" s="1" t="str">
        <f t="shared" si="425"/>
        <v>DN</v>
      </c>
      <c r="B1272" s="1" t="str">
        <f>"HPT601DN1"</f>
        <v>HPT601DN1</v>
      </c>
      <c r="C1272" s="1" t="str">
        <f>"고혈압 유질환자(야간)"</f>
        <v>고혈압 유질환자(야간)</v>
      </c>
      <c r="D1272" s="1" t="str">
        <f>"혈압이 잘 조절되고 있습니다. 현재대로 잘 진료를 받으세요."</f>
        <v>혈압이 잘 조절되고 있습니다. 현재대로 잘 진료를 받으세요.</v>
      </c>
      <c r="E1272" s="1" t="str">
        <f t="shared" si="435"/>
        <v>WOK02</v>
      </c>
      <c r="F1272" s="1" t="str">
        <f t="shared" si="427"/>
        <v>PTM04</v>
      </c>
      <c r="G1272" s="1" t="str">
        <f t="shared" si="428"/>
        <v>DIS600</v>
      </c>
      <c r="H1272" s="1" t="str">
        <f>"REL03"</f>
        <v>REL03</v>
      </c>
      <c r="I1272" s="1" t="str">
        <f>""</f>
        <v/>
      </c>
      <c r="J1272" s="1" t="str">
        <f t="shared" si="430"/>
        <v>N01D</v>
      </c>
      <c r="K1272" s="1" t="str">
        <f t="shared" si="431"/>
        <v>N01C</v>
      </c>
      <c r="L1272" s="1" t="str">
        <f t="shared" si="415"/>
        <v>R</v>
      </c>
      <c r="M1272" s="1" t="str">
        <f>"T031"</f>
        <v>T031</v>
      </c>
      <c r="N1272" s="1" t="str">
        <f t="shared" si="416"/>
        <v>Y</v>
      </c>
      <c r="O1272" s="1" t="str">
        <f t="shared" si="411"/>
        <v>Y</v>
      </c>
      <c r="P1272" s="1" t="str">
        <f t="shared" si="422"/>
        <v>Y</v>
      </c>
      <c r="Q1272" s="1" t="str">
        <f t="shared" si="412"/>
        <v>A</v>
      </c>
    </row>
    <row r="1273" spans="1:17" x14ac:dyDescent="0.3">
      <c r="A1273" s="1" t="str">
        <f t="shared" si="425"/>
        <v>DN</v>
      </c>
      <c r="B1273" s="1" t="str">
        <f>"HPTLT4DN"</f>
        <v>HPTLT4DN</v>
      </c>
      <c r="C1273" s="1" t="str">
        <f>"고혈압"</f>
        <v>고혈압</v>
      </c>
      <c r="D1273" s="1" t="str">
        <f>"고혈압이 있습니다. 야간작업은 심혈관계에 영향을 줄 수 있으므로 증상이 없더라도 치료를 받아야 합니다. 내과나 가정의학과에서 진료를 받으세요."</f>
        <v>고혈압이 있습니다. 야간작업은 심혈관계에 영향을 줄 수 있으므로 증상이 없더라도 치료를 받아야 합니다. 내과나 가정의학과에서 진료를 받으세요.</v>
      </c>
      <c r="E1273" s="1" t="str">
        <f t="shared" si="435"/>
        <v>WOK02</v>
      </c>
      <c r="F1273" s="1" t="str">
        <f t="shared" si="427"/>
        <v>PTM04</v>
      </c>
      <c r="G1273" s="1" t="str">
        <f t="shared" si="428"/>
        <v>DIS600</v>
      </c>
      <c r="H1273" s="1" t="str">
        <f>"REL03"</f>
        <v>REL03</v>
      </c>
      <c r="I1273" s="1" t="str">
        <f>""</f>
        <v/>
      </c>
      <c r="J1273" s="1" t="str">
        <f t="shared" si="430"/>
        <v>N01D</v>
      </c>
      <c r="K1273" s="1" t="str">
        <f t="shared" si="431"/>
        <v>N01C</v>
      </c>
      <c r="L1273" s="1" t="str">
        <f t="shared" si="415"/>
        <v>R</v>
      </c>
      <c r="M1273" s="1" t="str">
        <f>"T031"</f>
        <v>T031</v>
      </c>
      <c r="N1273" s="1" t="str">
        <f t="shared" si="416"/>
        <v>Y</v>
      </c>
      <c r="O1273" s="1" t="str">
        <f t="shared" si="411"/>
        <v>Y</v>
      </c>
      <c r="P1273" s="1" t="str">
        <f t="shared" si="422"/>
        <v>Y</v>
      </c>
      <c r="Q1273" s="1" t="str">
        <f t="shared" si="412"/>
        <v>A</v>
      </c>
    </row>
    <row r="1274" spans="1:17" x14ac:dyDescent="0.3">
      <c r="A1274" s="1" t="str">
        <f t="shared" si="425"/>
        <v>DN</v>
      </c>
      <c r="B1274" s="1" t="str">
        <f>"IL01J020"</f>
        <v>IL01J020</v>
      </c>
      <c r="C1274" s="1" t="str">
        <f>"고혈압 치료중(야간)"</f>
        <v>고혈압 치료중(야간)</v>
      </c>
      <c r="D1274" s="1" t="str">
        <f>"목표 혈압 이내로 관리 필요"</f>
        <v>목표 혈압 이내로 관리 필요</v>
      </c>
      <c r="E1274" s="1" t="str">
        <f t="shared" si="435"/>
        <v>WOK02</v>
      </c>
      <c r="F1274" s="1" t="str">
        <f t="shared" si="427"/>
        <v>PTM04</v>
      </c>
      <c r="G1274" s="1" t="str">
        <f t="shared" si="428"/>
        <v>DIS600</v>
      </c>
      <c r="H1274" s="1" t="str">
        <f>"REL04"</f>
        <v>REL04</v>
      </c>
      <c r="I1274" s="1" t="str">
        <f>""</f>
        <v/>
      </c>
      <c r="J1274" s="1" t="str">
        <f>"N04D"</f>
        <v>N04D</v>
      </c>
      <c r="K1274" s="1" t="str">
        <f>"N04D"</f>
        <v>N04D</v>
      </c>
      <c r="L1274" s="1" t="str">
        <f t="shared" si="415"/>
        <v>R</v>
      </c>
      <c r="M1274" s="1" t="str">
        <f>"T031"</f>
        <v>T031</v>
      </c>
      <c r="N1274" s="1" t="str">
        <f t="shared" si="416"/>
        <v>Y</v>
      </c>
      <c r="O1274" s="1" t="str">
        <f t="shared" ref="O1274:O1337" si="436">"Y"</f>
        <v>Y</v>
      </c>
      <c r="P1274" s="1" t="str">
        <f t="shared" si="422"/>
        <v>Y</v>
      </c>
      <c r="Q1274" s="1" t="str">
        <f t="shared" si="412"/>
        <v>A</v>
      </c>
    </row>
    <row r="1275" spans="1:17" x14ac:dyDescent="0.3">
      <c r="A1275" s="1" t="str">
        <f t="shared" si="425"/>
        <v>DN</v>
      </c>
      <c r="B1275" s="1" t="str">
        <f>"IL01J0222"</f>
        <v>IL01J0222</v>
      </c>
      <c r="C1275" s="1" t="str">
        <f>"신장질환의심"</f>
        <v>신장질환의심</v>
      </c>
      <c r="D1275" s="1" t="str">
        <f>"단백뇨 양성. 신장내과 진료 필요"</f>
        <v>단백뇨 양성. 신장내과 진료 필요</v>
      </c>
      <c r="E1275" s="1" t="str">
        <f t="shared" si="435"/>
        <v>WOK02</v>
      </c>
      <c r="F1275" s="1" t="str">
        <f t="shared" si="427"/>
        <v>PTM04</v>
      </c>
      <c r="G1275" s="1" t="str">
        <f>"DISN"</f>
        <v>DISN</v>
      </c>
      <c r="H1275" s="1" t="str">
        <f>"REL08"</f>
        <v>REL08</v>
      </c>
      <c r="I1275" s="1" t="str">
        <f>""</f>
        <v/>
      </c>
      <c r="J1275" s="1" t="str">
        <f>"C07R"</f>
        <v>C07R</v>
      </c>
      <c r="K1275" s="1" t="str">
        <f>"C07R"</f>
        <v>C07R</v>
      </c>
      <c r="L1275" s="1" t="str">
        <f t="shared" si="415"/>
        <v>R</v>
      </c>
      <c r="M1275" s="1" t="str">
        <f>"T05"</f>
        <v>T05</v>
      </c>
      <c r="N1275" s="1" t="str">
        <f t="shared" si="416"/>
        <v>Y</v>
      </c>
      <c r="O1275" s="1" t="str">
        <f t="shared" si="436"/>
        <v>Y</v>
      </c>
      <c r="P1275" s="1" t="str">
        <f t="shared" si="422"/>
        <v>Y</v>
      </c>
      <c r="Q1275" s="1" t="str">
        <f t="shared" si="412"/>
        <v>A</v>
      </c>
    </row>
    <row r="1276" spans="1:17" x14ac:dyDescent="0.3">
      <c r="A1276" s="1" t="str">
        <f t="shared" si="425"/>
        <v>DN</v>
      </c>
      <c r="B1276" s="1" t="str">
        <f>"J0207N"</f>
        <v>J0207N</v>
      </c>
      <c r="C1276" s="1" t="str">
        <f>"고혈압 치료중(야간)"</f>
        <v>고혈압 치료중(야간)</v>
      </c>
      <c r="D1276" s="1" t="s">
        <v>381</v>
      </c>
      <c r="E1276" s="1" t="str">
        <f t="shared" si="435"/>
        <v>WOK02</v>
      </c>
      <c r="F1276" s="1" t="str">
        <f t="shared" si="427"/>
        <v>PTM04</v>
      </c>
      <c r="G1276" s="1" t="str">
        <f>"DIS600"</f>
        <v>DIS600</v>
      </c>
      <c r="H1276" s="1" t="str">
        <f>"REL03"</f>
        <v>REL03</v>
      </c>
      <c r="I1276" s="1" t="str">
        <f>"P0601"</f>
        <v>P0601</v>
      </c>
      <c r="J1276" s="1" t="str">
        <f>"N04D"</f>
        <v>N04D</v>
      </c>
      <c r="K1276" s="1" t="str">
        <f>"N04D"</f>
        <v>N04D</v>
      </c>
      <c r="L1276" s="1" t="str">
        <f t="shared" si="415"/>
        <v>R</v>
      </c>
      <c r="M1276" s="1" t="str">
        <f t="shared" ref="M1276:M1283" si="437">"T031"</f>
        <v>T031</v>
      </c>
      <c r="N1276" s="1" t="str">
        <f t="shared" si="416"/>
        <v>Y</v>
      </c>
      <c r="O1276" s="1" t="str">
        <f t="shared" si="436"/>
        <v>Y</v>
      </c>
      <c r="P1276" s="1" t="str">
        <f t="shared" si="422"/>
        <v>Y</v>
      </c>
      <c r="Q1276" s="1" t="str">
        <f t="shared" ref="Q1276:Q1339" si="438">"A"</f>
        <v>A</v>
      </c>
    </row>
    <row r="1277" spans="1:17" x14ac:dyDescent="0.3">
      <c r="A1277" s="1" t="str">
        <f t="shared" si="425"/>
        <v>DN</v>
      </c>
      <c r="B1277" s="1" t="str">
        <f>"LIPLT8DN"</f>
        <v>LIPLT8DN</v>
      </c>
      <c r="C1277" s="1" t="str">
        <f>"이상지질혈증"</f>
        <v>이상지질혈증</v>
      </c>
      <c r="D1277" s="1" t="str">
        <f>"혈중 콜레스테롤 농도가 증가하여 심혈관계질환 발생 위험도가 높습니다. 야간작업은 불규칙한 식생활로 인해 심혈관계에 영향을 미칠 수 있기 때문에 이상지질혈증에 대한 치료가 반드시 필요합니다. 내과나 가정의학과의 진료를 받으세요."</f>
        <v>혈중 콜레스테롤 농도가 증가하여 심혈관계질환 발생 위험도가 높습니다. 야간작업은 불규칙한 식생활로 인해 심혈관계에 영향을 미칠 수 있기 때문에 이상지질혈증에 대한 치료가 반드시 필요합니다. 내과나 가정의학과의 진료를 받으세요.</v>
      </c>
      <c r="E1277" s="1" t="str">
        <f t="shared" si="435"/>
        <v>WOK02</v>
      </c>
      <c r="F1277" s="1" t="str">
        <f t="shared" si="427"/>
        <v>PTM04</v>
      </c>
      <c r="G1277" s="1" t="str">
        <f>"DIS600"</f>
        <v>DIS600</v>
      </c>
      <c r="H1277" s="1" t="str">
        <f>"REL04"</f>
        <v>REL04</v>
      </c>
      <c r="I1277" s="1" t="str">
        <f>"P0601"</f>
        <v>P0601</v>
      </c>
      <c r="J1277" s="1" t="str">
        <f>"N01D"</f>
        <v>N01D</v>
      </c>
      <c r="K1277" s="1" t="str">
        <f>"N01C"</f>
        <v>N01C</v>
      </c>
      <c r="L1277" s="1" t="str">
        <f t="shared" si="415"/>
        <v>R</v>
      </c>
      <c r="M1277" s="1" t="str">
        <f t="shared" si="437"/>
        <v>T031</v>
      </c>
      <c r="N1277" s="1" t="str">
        <f t="shared" si="416"/>
        <v>Y</v>
      </c>
      <c r="O1277" s="1" t="str">
        <f t="shared" si="436"/>
        <v>Y</v>
      </c>
      <c r="P1277" s="1" t="str">
        <f t="shared" si="422"/>
        <v>Y</v>
      </c>
      <c r="Q1277" s="1" t="str">
        <f t="shared" si="438"/>
        <v>A</v>
      </c>
    </row>
    <row r="1278" spans="1:17" x14ac:dyDescent="0.3">
      <c r="A1278" s="1" t="str">
        <f t="shared" si="425"/>
        <v>DN</v>
      </c>
      <c r="B1278" s="1" t="str">
        <f>"M0012"</f>
        <v>M0012</v>
      </c>
      <c r="C1278" s="1" t="str">
        <f>"이상지질혈증"</f>
        <v>이상지질혈증</v>
      </c>
      <c r="D1278" s="1" t="str">
        <f>"혈중 콜레스테롤 농도가 증가하여 심혈관계질환 발생 위험도가 높습니다. 야간작업은 불규칙한 식생활 때문에 심혈관계에 영향을 미칠 수 있기 때문에 고지혈증에 대한 치료가 반드시 필요합니다. 내과나 가정의학과의 진료를 받으세요."</f>
        <v>혈중 콜레스테롤 농도가 증가하여 심혈관계질환 발생 위험도가 높습니다. 야간작업은 불규칙한 식생활 때문에 심혈관계에 영향을 미칠 수 있기 때문에 고지혈증에 대한 치료가 반드시 필요합니다. 내과나 가정의학과의 진료를 받으세요.</v>
      </c>
      <c r="E1278" s="1" t="str">
        <f t="shared" si="435"/>
        <v>WOK02</v>
      </c>
      <c r="F1278" s="1" t="str">
        <f t="shared" si="427"/>
        <v>PTM04</v>
      </c>
      <c r="G1278" s="1" t="str">
        <f>"DIS600"</f>
        <v>DIS600</v>
      </c>
      <c r="H1278" s="1" t="str">
        <f>"REL04"</f>
        <v>REL04</v>
      </c>
      <c r="I1278" s="1" t="str">
        <f>""</f>
        <v/>
      </c>
      <c r="J1278" s="1" t="str">
        <f>"N01D"</f>
        <v>N01D</v>
      </c>
      <c r="K1278" s="1" t="str">
        <f>"N01C"</f>
        <v>N01C</v>
      </c>
      <c r="L1278" s="1" t="str">
        <f t="shared" si="415"/>
        <v>R</v>
      </c>
      <c r="M1278" s="1" t="str">
        <f t="shared" si="437"/>
        <v>T031</v>
      </c>
      <c r="N1278" s="1" t="str">
        <f t="shared" si="416"/>
        <v>Y</v>
      </c>
      <c r="O1278" s="1" t="str">
        <f t="shared" si="436"/>
        <v>Y</v>
      </c>
      <c r="P1278" s="1" t="str">
        <f t="shared" si="422"/>
        <v>Y</v>
      </c>
      <c r="Q1278" s="1" t="str">
        <f t="shared" si="438"/>
        <v>A</v>
      </c>
    </row>
    <row r="1279" spans="1:17" x14ac:dyDescent="0.3">
      <c r="A1279" s="1" t="str">
        <f t="shared" si="425"/>
        <v>DN</v>
      </c>
      <c r="B1279" s="1" t="str">
        <f>"M0013"</f>
        <v>M0013</v>
      </c>
      <c r="C1279" s="1" t="str">
        <f>"이상지질혈증"</f>
        <v>이상지질혈증</v>
      </c>
      <c r="D1279" s="1" t="str">
        <f>"혈중 콜레스테롤 농도가 증가하여 심혈관계질환 발생 위험도가 높습니다. 야간작업은 불규칙한 식생활 때문에 심혈관계에 영향을 미칠 수 있기 때문에 고지혈증에 대한 치료가 반드시 필요합니다. 내과나 가정의학과의 진료를 받으세요."</f>
        <v>혈중 콜레스테롤 농도가 증가하여 심혈관계질환 발생 위험도가 높습니다. 야간작업은 불규칙한 식생활 때문에 심혈관계에 영향을 미칠 수 있기 때문에 고지혈증에 대한 치료가 반드시 필요합니다. 내과나 가정의학과의 진료를 받으세요.</v>
      </c>
      <c r="E1279" s="1" t="str">
        <f t="shared" si="435"/>
        <v>WOK02</v>
      </c>
      <c r="F1279" s="1" t="str">
        <f t="shared" si="427"/>
        <v>PTM04</v>
      </c>
      <c r="G1279" s="1" t="str">
        <f>"DIS600"</f>
        <v>DIS600</v>
      </c>
      <c r="H1279" s="1" t="str">
        <f>"REL04"</f>
        <v>REL04</v>
      </c>
      <c r="I1279" s="1" t="str">
        <f>""</f>
        <v/>
      </c>
      <c r="J1279" s="1" t="str">
        <f>"N01D"</f>
        <v>N01D</v>
      </c>
      <c r="K1279" s="1" t="str">
        <f>"N01C"</f>
        <v>N01C</v>
      </c>
      <c r="L1279" s="1" t="str">
        <f t="shared" si="415"/>
        <v>R</v>
      </c>
      <c r="M1279" s="1" t="str">
        <f t="shared" si="437"/>
        <v>T031</v>
      </c>
      <c r="N1279" s="1" t="str">
        <f t="shared" si="416"/>
        <v>Y</v>
      </c>
      <c r="O1279" s="1" t="str">
        <f t="shared" si="436"/>
        <v>Y</v>
      </c>
      <c r="P1279" s="1" t="str">
        <f t="shared" si="422"/>
        <v>Y</v>
      </c>
      <c r="Q1279" s="1" t="str">
        <f t="shared" si="438"/>
        <v>A</v>
      </c>
    </row>
    <row r="1280" spans="1:17" x14ac:dyDescent="0.3">
      <c r="A1280" s="1" t="str">
        <f t="shared" si="425"/>
        <v>DN</v>
      </c>
      <c r="B1280" s="1" t="str">
        <f>"NDMD302"</f>
        <v>NDMD302</v>
      </c>
      <c r="C1280" s="1" t="str">
        <f>"당뇨병 유질환자"</f>
        <v>당뇨병 유질환자</v>
      </c>
      <c r="D1280" s="1" t="s">
        <v>382</v>
      </c>
      <c r="E1280" s="1" t="str">
        <f t="shared" si="435"/>
        <v>WOK02</v>
      </c>
      <c r="F1280" s="1" t="str">
        <f t="shared" si="427"/>
        <v>PTM04</v>
      </c>
      <c r="G1280" s="1" t="str">
        <f>"DISE"</f>
        <v>DISE</v>
      </c>
      <c r="H1280" s="1" t="str">
        <f>"REL07"</f>
        <v>REL07</v>
      </c>
      <c r="I1280" s="1" t="str">
        <f>""</f>
        <v/>
      </c>
      <c r="J1280" s="1" t="str">
        <f>"C06D"</f>
        <v>C06D</v>
      </c>
      <c r="K1280" s="1" t="str">
        <f>"C06D"</f>
        <v>C06D</v>
      </c>
      <c r="L1280" s="1" t="str">
        <f t="shared" si="415"/>
        <v>R</v>
      </c>
      <c r="M1280" s="1" t="str">
        <f t="shared" si="437"/>
        <v>T031</v>
      </c>
      <c r="N1280" s="1" t="str">
        <f t="shared" si="416"/>
        <v>Y</v>
      </c>
      <c r="O1280" s="1" t="str">
        <f t="shared" si="436"/>
        <v>Y</v>
      </c>
      <c r="P1280" s="1" t="str">
        <f t="shared" si="422"/>
        <v>Y</v>
      </c>
      <c r="Q1280" s="1" t="str">
        <f t="shared" si="438"/>
        <v>A</v>
      </c>
    </row>
    <row r="1281" spans="1:17" x14ac:dyDescent="0.3">
      <c r="A1281" s="1" t="str">
        <f t="shared" si="425"/>
        <v>DN</v>
      </c>
      <c r="B1281" s="1" t="str">
        <f>"NDMDLT3"</f>
        <v>NDMDLT3</v>
      </c>
      <c r="C1281" s="1" t="str">
        <f>"당뇨병 치료중"</f>
        <v>당뇨병 치료중</v>
      </c>
      <c r="D1281" s="1" t="str">
        <f>"지속적인 관리 및 치료"</f>
        <v>지속적인 관리 및 치료</v>
      </c>
      <c r="E1281" s="1" t="str">
        <f t="shared" si="435"/>
        <v>WOK02</v>
      </c>
      <c r="F1281" s="1" t="str">
        <f t="shared" si="427"/>
        <v>PTM04</v>
      </c>
      <c r="G1281" s="1" t="str">
        <f>"DISE"</f>
        <v>DISE</v>
      </c>
      <c r="H1281" s="1" t="str">
        <f>"REL07"</f>
        <v>REL07</v>
      </c>
      <c r="I1281" s="1" t="str">
        <f>""</f>
        <v/>
      </c>
      <c r="J1281" s="1" t="str">
        <f>"C06D"</f>
        <v>C06D</v>
      </c>
      <c r="K1281" s="1" t="str">
        <f>"C06D"</f>
        <v>C06D</v>
      </c>
      <c r="L1281" s="1" t="str">
        <f t="shared" si="415"/>
        <v>R</v>
      </c>
      <c r="M1281" s="1" t="str">
        <f t="shared" si="437"/>
        <v>T031</v>
      </c>
      <c r="N1281" s="1" t="str">
        <f t="shared" si="416"/>
        <v>Y</v>
      </c>
      <c r="O1281" s="1" t="str">
        <f t="shared" si="436"/>
        <v>Y</v>
      </c>
      <c r="P1281" s="1" t="str">
        <f t="shared" si="422"/>
        <v>Y</v>
      </c>
      <c r="Q1281" s="1" t="str">
        <f t="shared" si="438"/>
        <v>A</v>
      </c>
    </row>
    <row r="1282" spans="1:17" x14ac:dyDescent="0.3">
      <c r="A1282" s="1" t="str">
        <f t="shared" si="425"/>
        <v>DN</v>
      </c>
      <c r="B1282" s="1" t="str">
        <f>"NDMDLT3N"</f>
        <v>NDMDLT3N</v>
      </c>
      <c r="C1282" s="1" t="str">
        <f>"당뇨병 치료중(야간)"</f>
        <v>당뇨병 치료중(야간)</v>
      </c>
      <c r="D1282" s="1" t="str">
        <f>"야간작업(교대근무)를 하면 생활리듬이 바뀌어서 혈당조절이 어려울 수 있습니다. 지속적인 진료 통하여 관리받으시기 바랍니다."</f>
        <v>야간작업(교대근무)를 하면 생활리듬이 바뀌어서 혈당조절이 어려울 수 있습니다. 지속적인 진료 통하여 관리받으시기 바랍니다.</v>
      </c>
      <c r="E1282" s="1" t="str">
        <f t="shared" si="435"/>
        <v>WOK02</v>
      </c>
      <c r="F1282" s="1" t="str">
        <f t="shared" si="427"/>
        <v>PTM04</v>
      </c>
      <c r="G1282" s="1" t="str">
        <f>"DIS600"</f>
        <v>DIS600</v>
      </c>
      <c r="H1282" s="1" t="str">
        <f>"REL07"</f>
        <v>REL07</v>
      </c>
      <c r="I1282" s="1" t="str">
        <f>"P0601"</f>
        <v>P0601</v>
      </c>
      <c r="J1282" s="1" t="str">
        <f>"N01D"</f>
        <v>N01D</v>
      </c>
      <c r="K1282" s="1" t="str">
        <f>"N01C"</f>
        <v>N01C</v>
      </c>
      <c r="L1282" s="1" t="str">
        <f t="shared" si="415"/>
        <v>R</v>
      </c>
      <c r="M1282" s="1" t="str">
        <f t="shared" si="437"/>
        <v>T031</v>
      </c>
      <c r="N1282" s="1" t="str">
        <f t="shared" si="416"/>
        <v>Y</v>
      </c>
      <c r="O1282" s="1" t="str">
        <f t="shared" si="436"/>
        <v>Y</v>
      </c>
      <c r="P1282" s="1" t="str">
        <f t="shared" si="422"/>
        <v>Y</v>
      </c>
      <c r="Q1282" s="1" t="str">
        <f t="shared" si="438"/>
        <v>A</v>
      </c>
    </row>
    <row r="1283" spans="1:17" x14ac:dyDescent="0.3">
      <c r="A1283" s="1" t="str">
        <f t="shared" si="425"/>
        <v>DN</v>
      </c>
      <c r="B1283" s="1" t="str">
        <f>"NJ0218"</f>
        <v>NJ0218</v>
      </c>
      <c r="C1283" s="1" t="str">
        <f>"당뇨병 유질환자"</f>
        <v>당뇨병 유질환자</v>
      </c>
      <c r="D1283" s="1" t="str">
        <f>"지속적인 혈당관리 및 당뇨치료가 필요합니다."</f>
        <v>지속적인 혈당관리 및 당뇨치료가 필요합니다.</v>
      </c>
      <c r="E1283" s="1" t="str">
        <f t="shared" si="435"/>
        <v>WOK02</v>
      </c>
      <c r="F1283" s="1" t="str">
        <f t="shared" si="427"/>
        <v>PTM04</v>
      </c>
      <c r="G1283" s="1" t="str">
        <f>"DISE"</f>
        <v>DISE</v>
      </c>
      <c r="H1283" s="1" t="str">
        <f>"REL07"</f>
        <v>REL07</v>
      </c>
      <c r="I1283" s="1" t="str">
        <f>""</f>
        <v/>
      </c>
      <c r="J1283" s="1" t="str">
        <f>"C06D"</f>
        <v>C06D</v>
      </c>
      <c r="K1283" s="1" t="str">
        <f>"C06D"</f>
        <v>C06D</v>
      </c>
      <c r="L1283" s="1" t="str">
        <f t="shared" si="415"/>
        <v>R</v>
      </c>
      <c r="M1283" s="1" t="str">
        <f t="shared" si="437"/>
        <v>T031</v>
      </c>
      <c r="N1283" s="1" t="str">
        <f t="shared" si="416"/>
        <v>Y</v>
      </c>
      <c r="O1283" s="1" t="str">
        <f t="shared" si="436"/>
        <v>Y</v>
      </c>
      <c r="P1283" s="1" t="str">
        <f t="shared" si="422"/>
        <v>Y</v>
      </c>
      <c r="Q1283" s="1" t="str">
        <f t="shared" si="438"/>
        <v>A</v>
      </c>
    </row>
    <row r="1284" spans="1:17" x14ac:dyDescent="0.3">
      <c r="A1284" s="1" t="str">
        <f t="shared" si="425"/>
        <v>DN</v>
      </c>
      <c r="B1284" s="1" t="str">
        <f>"NJ0521"</f>
        <v>NJ0521</v>
      </c>
      <c r="C1284" s="1" t="str">
        <f>"심한 수면장애(야간작업)"</f>
        <v>심한 수면장애(야간작업)</v>
      </c>
      <c r="D1284" s="1" t="str">
        <f>"문진에서 심한 수면장애에 해당합니다. 수면위생 개선만으로 증상의 호전이 없다면 전문의 상담을 권고합니다."</f>
        <v>문진에서 심한 수면장애에 해당합니다. 수면위생 개선만으로 증상의 호전이 없다면 전문의 상담을 권고합니다.</v>
      </c>
      <c r="E1284" s="1" t="str">
        <f t="shared" si="435"/>
        <v>WOK02</v>
      </c>
      <c r="F1284" s="1" t="str">
        <f>"PTM01"</f>
        <v>PTM01</v>
      </c>
      <c r="G1284" s="1" t="str">
        <f>"DIS600"</f>
        <v>DIS600</v>
      </c>
      <c r="H1284" s="1" t="str">
        <f>"REL21"</f>
        <v>REL21</v>
      </c>
      <c r="I1284" s="1" t="str">
        <f>"P0601"</f>
        <v>P0601</v>
      </c>
      <c r="J1284" s="1" t="str">
        <f>"N03D"</f>
        <v>N03D</v>
      </c>
      <c r="K1284" s="1" t="str">
        <f>"N03D"</f>
        <v>N03D</v>
      </c>
      <c r="L1284" s="1" t="str">
        <f t="shared" si="415"/>
        <v>R</v>
      </c>
      <c r="M1284" s="1" t="str">
        <f>"T061"</f>
        <v>T061</v>
      </c>
      <c r="N1284" s="1" t="str">
        <f t="shared" si="416"/>
        <v>Y</v>
      </c>
      <c r="O1284" s="1" t="str">
        <f t="shared" si="436"/>
        <v>Y</v>
      </c>
      <c r="P1284" s="1" t="str">
        <f t="shared" si="422"/>
        <v>Y</v>
      </c>
      <c r="Q1284" s="1" t="str">
        <f t="shared" si="438"/>
        <v>A</v>
      </c>
    </row>
    <row r="1285" spans="1:17" x14ac:dyDescent="0.3">
      <c r="A1285" s="1" t="str">
        <f t="shared" si="425"/>
        <v>DN</v>
      </c>
      <c r="B1285" s="1" t="str">
        <f>"NLIPLT"</f>
        <v>NLIPLT</v>
      </c>
      <c r="C1285" s="1" t="str">
        <f>"고지혈증 치료중"</f>
        <v>고지혈증 치료중</v>
      </c>
      <c r="D1285" s="1" t="str">
        <f>"고지혈증에 대한 지속적인 관리 필요"</f>
        <v>고지혈증에 대한 지속적인 관리 필요</v>
      </c>
      <c r="E1285" s="1" t="str">
        <f t="shared" si="435"/>
        <v>WOK02</v>
      </c>
      <c r="F1285" s="1" t="str">
        <f>"PTM04"</f>
        <v>PTM04</v>
      </c>
      <c r="G1285" s="1" t="str">
        <f>"DISE"</f>
        <v>DISE</v>
      </c>
      <c r="H1285" s="1" t="str">
        <f>"REL04"</f>
        <v>REL04</v>
      </c>
      <c r="I1285" s="1" t="str">
        <f>""</f>
        <v/>
      </c>
      <c r="J1285" s="1" t="str">
        <f>"C04D"</f>
        <v>C04D</v>
      </c>
      <c r="K1285" s="1" t="str">
        <f>"C04D"</f>
        <v>C04D</v>
      </c>
      <c r="L1285" s="1" t="str">
        <f t="shared" ref="L1285:L1348" si="439">"R"</f>
        <v>R</v>
      </c>
      <c r="M1285" s="1" t="str">
        <f>"T031"</f>
        <v>T031</v>
      </c>
      <c r="N1285" s="1" t="str">
        <f t="shared" ref="N1285:N1348" si="440">"Y"</f>
        <v>Y</v>
      </c>
      <c r="O1285" s="1" t="str">
        <f t="shared" si="436"/>
        <v>Y</v>
      </c>
      <c r="P1285" s="1" t="str">
        <f t="shared" si="422"/>
        <v>Y</v>
      </c>
      <c r="Q1285" s="1" t="str">
        <f t="shared" si="438"/>
        <v>A</v>
      </c>
    </row>
    <row r="1286" spans="1:17" x14ac:dyDescent="0.3">
      <c r="A1286" s="1" t="str">
        <f t="shared" ref="A1286:A1294" si="441">"GA"</f>
        <v>GA</v>
      </c>
      <c r="B1286" s="1" t="str">
        <f>"DEMENTIA1"</f>
        <v>DEMENTIA1</v>
      </c>
      <c r="C1286" s="1" t="str">
        <f>"인지기능저하 의심"</f>
        <v>인지기능저하 의심</v>
      </c>
      <c r="D1286" s="1" t="s">
        <v>383</v>
      </c>
      <c r="E1286" s="1" t="str">
        <f t="shared" si="435"/>
        <v>WOK02</v>
      </c>
      <c r="F1286" s="1" t="str">
        <f>"PTM01"</f>
        <v>PTM01</v>
      </c>
      <c r="G1286" s="1" t="str">
        <f>"DISF"</f>
        <v>DISF</v>
      </c>
      <c r="H1286" s="1" t="str">
        <f>"REL28"</f>
        <v>REL28</v>
      </c>
      <c r="I1286" s="1" t="str">
        <f>""</f>
        <v/>
      </c>
      <c r="J1286" s="1" t="str">
        <f>"C36C"</f>
        <v>C36C</v>
      </c>
      <c r="K1286" s="1" t="str">
        <f>"C36C"</f>
        <v>C36C</v>
      </c>
      <c r="L1286" s="1" t="str">
        <f t="shared" si="439"/>
        <v>R</v>
      </c>
      <c r="M1286" s="1" t="str">
        <f>"T06"</f>
        <v>T06</v>
      </c>
      <c r="N1286" s="1" t="str">
        <f t="shared" si="440"/>
        <v>Y</v>
      </c>
      <c r="O1286" s="1" t="str">
        <f t="shared" si="436"/>
        <v>Y</v>
      </c>
      <c r="P1286" s="1" t="str">
        <f t="shared" si="422"/>
        <v>Y</v>
      </c>
      <c r="Q1286" s="1" t="str">
        <f t="shared" si="438"/>
        <v>A</v>
      </c>
    </row>
    <row r="1287" spans="1:17" x14ac:dyDescent="0.3">
      <c r="A1287" s="1" t="str">
        <f t="shared" si="441"/>
        <v>GA</v>
      </c>
      <c r="B1287" s="1" t="str">
        <f>"DRINK1"</f>
        <v>DRINK1</v>
      </c>
      <c r="C1287" s="1" t="str">
        <f>"절주 필요"</f>
        <v>절주 필요</v>
      </c>
      <c r="D1287" s="1" t="str">
        <f>"위험음주 상태입니다. 간 및 심혈관계 질환 예방을 위해 절주 또는 금주가 필요합니다."</f>
        <v>위험음주 상태입니다. 간 및 심혈관계 질환 예방을 위해 절주 또는 금주가 필요합니다.</v>
      </c>
      <c r="E1287" s="1" t="str">
        <f>"WOK01"</f>
        <v>WOK01</v>
      </c>
      <c r="F1287" s="1" t="str">
        <f>"PTM01"</f>
        <v>PTM01</v>
      </c>
      <c r="G1287" s="1" t="str">
        <f>"DISE"</f>
        <v>DISE</v>
      </c>
      <c r="H1287" s="1" t="str">
        <f>"REL27"</f>
        <v>REL27</v>
      </c>
      <c r="I1287" s="1" t="str">
        <f>""</f>
        <v/>
      </c>
      <c r="J1287" s="1" t="str">
        <f>""</f>
        <v/>
      </c>
      <c r="K1287" s="1" t="str">
        <f>""</f>
        <v/>
      </c>
      <c r="L1287" s="1" t="str">
        <f t="shared" si="439"/>
        <v>R</v>
      </c>
      <c r="M1287" s="1" t="str">
        <f>"T19"</f>
        <v>T19</v>
      </c>
      <c r="N1287" s="1" t="str">
        <f t="shared" si="440"/>
        <v>Y</v>
      </c>
      <c r="O1287" s="1" t="str">
        <f t="shared" si="436"/>
        <v>Y</v>
      </c>
      <c r="P1287" s="1" t="str">
        <f t="shared" si="422"/>
        <v>Y</v>
      </c>
      <c r="Q1287" s="1" t="str">
        <f t="shared" si="438"/>
        <v>A</v>
      </c>
    </row>
    <row r="1288" spans="1:17" x14ac:dyDescent="0.3">
      <c r="A1288" s="1" t="str">
        <f t="shared" si="441"/>
        <v>GA</v>
      </c>
      <c r="B1288" s="1" t="str">
        <f>"EXERCISE1"</f>
        <v>EXERCISE1</v>
      </c>
      <c r="C1288" s="1" t="str">
        <f>"신체활동 필요"</f>
        <v>신체활동 필요</v>
      </c>
      <c r="D1288" s="1" t="str">
        <f>"신체활동량이 부족합니다. 1주일에 150분 이상의 유산소운동을 권장합니다."</f>
        <v>신체활동량이 부족합니다. 1주일에 150분 이상의 유산소운동을 권장합니다.</v>
      </c>
      <c r="E1288" s="1" t="str">
        <f>"WOK01"</f>
        <v>WOK01</v>
      </c>
      <c r="F1288" s="1" t="str">
        <f>"PTM01"</f>
        <v>PTM01</v>
      </c>
      <c r="G1288" s="1" t="str">
        <f>"DISE"</f>
        <v>DISE</v>
      </c>
      <c r="H1288" s="1" t="str">
        <f>"REL24"</f>
        <v>REL24</v>
      </c>
      <c r="I1288" s="1" t="str">
        <f>""</f>
        <v/>
      </c>
      <c r="J1288" s="1" t="str">
        <f>""</f>
        <v/>
      </c>
      <c r="K1288" s="1" t="str">
        <f>""</f>
        <v/>
      </c>
      <c r="L1288" s="1" t="str">
        <f t="shared" si="439"/>
        <v>R</v>
      </c>
      <c r="M1288" s="1" t="str">
        <f>"T19"</f>
        <v>T19</v>
      </c>
      <c r="N1288" s="1" t="str">
        <f t="shared" si="440"/>
        <v>Y</v>
      </c>
      <c r="O1288" s="1" t="str">
        <f t="shared" si="436"/>
        <v>Y</v>
      </c>
      <c r="P1288" s="1" t="str">
        <f t="shared" si="422"/>
        <v>Y</v>
      </c>
      <c r="Q1288" s="1" t="str">
        <f t="shared" si="438"/>
        <v>A</v>
      </c>
    </row>
    <row r="1289" spans="1:17" x14ac:dyDescent="0.3">
      <c r="A1289" s="1" t="str">
        <f t="shared" si="441"/>
        <v>GA</v>
      </c>
      <c r="B1289" s="1" t="str">
        <f>"FALLDOWN1"</f>
        <v>FALLDOWN1</v>
      </c>
      <c r="C1289" s="1" t="str">
        <f>"낙상 고위험자"</f>
        <v>낙상 고위험자</v>
      </c>
      <c r="D1289" s="1" t="s">
        <v>384</v>
      </c>
      <c r="E1289" s="1" t="str">
        <f>"WOK02"</f>
        <v>WOK02</v>
      </c>
      <c r="F1289" s="1" t="str">
        <f>"PTM01"</f>
        <v>PTM01</v>
      </c>
      <c r="G1289" s="1" t="str">
        <f>"DISM"</f>
        <v>DISM</v>
      </c>
      <c r="H1289" s="1" t="str">
        <f>"REL22"</f>
        <v>REL22</v>
      </c>
      <c r="I1289" s="1" t="str">
        <f>""</f>
        <v/>
      </c>
      <c r="J1289" s="1" t="str">
        <f>""</f>
        <v/>
      </c>
      <c r="K1289" s="1" t="str">
        <f>""</f>
        <v/>
      </c>
      <c r="L1289" s="1" t="str">
        <f t="shared" si="439"/>
        <v>R</v>
      </c>
      <c r="M1289" s="1" t="str">
        <f>"T19"</f>
        <v>T19</v>
      </c>
      <c r="N1289" s="1" t="str">
        <f t="shared" si="440"/>
        <v>Y</v>
      </c>
      <c r="O1289" s="1" t="str">
        <f t="shared" si="436"/>
        <v>Y</v>
      </c>
      <c r="P1289" s="1" t="str">
        <f t="shared" si="422"/>
        <v>Y</v>
      </c>
      <c r="Q1289" s="1" t="str">
        <f t="shared" si="438"/>
        <v>A</v>
      </c>
    </row>
    <row r="1290" spans="1:17" x14ac:dyDescent="0.3">
      <c r="A1290" s="1" t="str">
        <f t="shared" si="441"/>
        <v>GA</v>
      </c>
      <c r="B1290" s="1" t="str">
        <f>"INFLUENZA1"</f>
        <v>INFLUENZA1</v>
      </c>
      <c r="C1290" s="1" t="str">
        <f>"인플루엔자 접종필요"</f>
        <v>인플루엔자 접종필요</v>
      </c>
      <c r="D1290" s="1" t="s">
        <v>385</v>
      </c>
      <c r="E1290" s="1" t="str">
        <f t="shared" ref="E1290:E1295" si="442">"WOK01"</f>
        <v>WOK01</v>
      </c>
      <c r="F1290" s="1" t="str">
        <f>"PTM01"</f>
        <v>PTM01</v>
      </c>
      <c r="G1290" s="1" t="str">
        <f>"DISJ"</f>
        <v>DISJ</v>
      </c>
      <c r="H1290" s="1" t="str">
        <f>"REL02"</f>
        <v>REL02</v>
      </c>
      <c r="I1290" s="1" t="str">
        <f>""</f>
        <v/>
      </c>
      <c r="J1290" s="1" t="str">
        <f>""</f>
        <v/>
      </c>
      <c r="K1290" s="1" t="str">
        <f>""</f>
        <v/>
      </c>
      <c r="L1290" s="1" t="str">
        <f t="shared" si="439"/>
        <v>R</v>
      </c>
      <c r="M1290" s="1" t="str">
        <f>"T04"</f>
        <v>T04</v>
      </c>
      <c r="N1290" s="1" t="str">
        <f t="shared" si="440"/>
        <v>Y</v>
      </c>
      <c r="O1290" s="1" t="str">
        <f t="shared" si="436"/>
        <v>Y</v>
      </c>
      <c r="P1290" s="1" t="str">
        <f t="shared" ref="P1290:P1353" si="443">"Y"</f>
        <v>Y</v>
      </c>
      <c r="Q1290" s="1" t="str">
        <f t="shared" si="438"/>
        <v>A</v>
      </c>
    </row>
    <row r="1291" spans="1:17" x14ac:dyDescent="0.3">
      <c r="A1291" s="1" t="str">
        <f t="shared" si="441"/>
        <v>GA</v>
      </c>
      <c r="B1291" s="1" t="str">
        <f>"LTS641"</f>
        <v>LTS641</v>
      </c>
      <c r="C1291" s="1" t="str">
        <f>"인지기능검사상 정상"</f>
        <v>인지기능검사상 정상</v>
      </c>
      <c r="D1291" s="1" t="str">
        <f>"인지기능에 대한 설문 및 상담결과 정상 소견입니다."</f>
        <v>인지기능에 대한 설문 및 상담결과 정상 소견입니다.</v>
      </c>
      <c r="E1291" s="1" t="str">
        <f t="shared" si="442"/>
        <v>WOK01</v>
      </c>
      <c r="F1291" s="1" t="str">
        <f>"PTM00"</f>
        <v>PTM00</v>
      </c>
      <c r="G1291" s="1" t="str">
        <f>"DISF"</f>
        <v>DISF</v>
      </c>
      <c r="H1291" s="1" t="str">
        <f>"REL28"</f>
        <v>REL28</v>
      </c>
      <c r="I1291" s="1" t="str">
        <f>""</f>
        <v/>
      </c>
      <c r="J1291" s="1" t="str">
        <f>"C36A"</f>
        <v>C36A</v>
      </c>
      <c r="K1291" s="1" t="str">
        <f>"C36A"</f>
        <v>C36A</v>
      </c>
      <c r="L1291" s="1" t="str">
        <f t="shared" si="439"/>
        <v>R</v>
      </c>
      <c r="M1291" s="1" t="str">
        <f>"T06"</f>
        <v>T06</v>
      </c>
      <c r="N1291" s="1" t="str">
        <f t="shared" si="440"/>
        <v>Y</v>
      </c>
      <c r="O1291" s="1" t="str">
        <f t="shared" si="436"/>
        <v>Y</v>
      </c>
      <c r="P1291" s="1" t="str">
        <f t="shared" si="443"/>
        <v>Y</v>
      </c>
      <c r="Q1291" s="1" t="str">
        <f t="shared" si="438"/>
        <v>A</v>
      </c>
    </row>
    <row r="1292" spans="1:17" x14ac:dyDescent="0.3">
      <c r="A1292" s="1" t="str">
        <f t="shared" si="441"/>
        <v>GA</v>
      </c>
      <c r="B1292" s="1" t="str">
        <f>"MUSCLE1"</f>
        <v>MUSCLE1</v>
      </c>
      <c r="C1292" s="1" t="str">
        <f>"근력운동 필요"</f>
        <v>근력운동 필요</v>
      </c>
      <c r="D1292" s="1" t="str">
        <f>"일주일에 2일 이상 신체 각 부위를 모두 포함하여 근력 운동을 수행하십시오."</f>
        <v>일주일에 2일 이상 신체 각 부위를 모두 포함하여 근력 운동을 수행하십시오.</v>
      </c>
      <c r="E1292" s="1" t="str">
        <f t="shared" si="442"/>
        <v>WOK01</v>
      </c>
      <c r="F1292" s="1" t="str">
        <f>"PTM01"</f>
        <v>PTM01</v>
      </c>
      <c r="G1292" s="1" t="str">
        <f>"DISE"</f>
        <v>DISE</v>
      </c>
      <c r="H1292" s="1" t="str">
        <f>"REL24"</f>
        <v>REL24</v>
      </c>
      <c r="I1292" s="1" t="str">
        <f>""</f>
        <v/>
      </c>
      <c r="J1292" s="1" t="str">
        <f>""</f>
        <v/>
      </c>
      <c r="K1292" s="1" t="str">
        <f>""</f>
        <v/>
      </c>
      <c r="L1292" s="1" t="str">
        <f t="shared" si="439"/>
        <v>R</v>
      </c>
      <c r="M1292" s="1" t="str">
        <f>"T19"</f>
        <v>T19</v>
      </c>
      <c r="N1292" s="1" t="str">
        <f t="shared" si="440"/>
        <v>Y</v>
      </c>
      <c r="O1292" s="1" t="str">
        <f t="shared" si="436"/>
        <v>Y</v>
      </c>
      <c r="P1292" s="1" t="str">
        <f t="shared" si="443"/>
        <v>Y</v>
      </c>
      <c r="Q1292" s="1" t="str">
        <f t="shared" si="438"/>
        <v>A</v>
      </c>
    </row>
    <row r="1293" spans="1:17" x14ac:dyDescent="0.3">
      <c r="A1293" s="1" t="str">
        <f t="shared" si="441"/>
        <v>GA</v>
      </c>
      <c r="B1293" s="1" t="str">
        <f>"PNUEMONIA1"</f>
        <v>PNUEMONIA1</v>
      </c>
      <c r="C1293" s="1" t="str">
        <f>"폐렴구균 접종필요"</f>
        <v>폐렴구균 접종필요</v>
      </c>
      <c r="D1293" s="1" t="str">
        <f>"폐렴구균은 인플루엔자와 함께 중증 폐렴의 원인이 됩니다. 의사와 상담 후 5년에 한 번씩 폐렴구균 예방접종을 받으세요."</f>
        <v>폐렴구균은 인플루엔자와 함께 중증 폐렴의 원인이 됩니다. 의사와 상담 후 5년에 한 번씩 폐렴구균 예방접종을 받으세요.</v>
      </c>
      <c r="E1293" s="1" t="str">
        <f t="shared" si="442"/>
        <v>WOK01</v>
      </c>
      <c r="F1293" s="1" t="str">
        <f>"PTM01"</f>
        <v>PTM01</v>
      </c>
      <c r="G1293" s="1" t="str">
        <f>"DISJ"</f>
        <v>DISJ</v>
      </c>
      <c r="H1293" s="1" t="str">
        <f>"REL02"</f>
        <v>REL02</v>
      </c>
      <c r="I1293" s="1" t="str">
        <f>""</f>
        <v/>
      </c>
      <c r="J1293" s="1" t="str">
        <f>""</f>
        <v/>
      </c>
      <c r="K1293" s="1" t="str">
        <f>""</f>
        <v/>
      </c>
      <c r="L1293" s="1" t="str">
        <f t="shared" si="439"/>
        <v>R</v>
      </c>
      <c r="M1293" s="1" t="str">
        <f>"T04"</f>
        <v>T04</v>
      </c>
      <c r="N1293" s="1" t="str">
        <f t="shared" si="440"/>
        <v>Y</v>
      </c>
      <c r="O1293" s="1" t="str">
        <f t="shared" si="436"/>
        <v>Y</v>
      </c>
      <c r="P1293" s="1" t="str">
        <f t="shared" si="443"/>
        <v>Y</v>
      </c>
      <c r="Q1293" s="1" t="str">
        <f t="shared" si="438"/>
        <v>A</v>
      </c>
    </row>
    <row r="1294" spans="1:17" x14ac:dyDescent="0.3">
      <c r="A1294" s="1" t="str">
        <f t="shared" si="441"/>
        <v>GA</v>
      </c>
      <c r="B1294" s="1" t="str">
        <f>"SMOKE1"</f>
        <v>SMOKE1</v>
      </c>
      <c r="C1294" s="1" t="str">
        <f>"금연 필요"</f>
        <v>금연 필요</v>
      </c>
      <c r="D1294" s="1" t="str">
        <f>"흡연은 폐암 및 각종 심혈관계 질환을 유발할 수 있습니다. 건강을 위해서 금연하십시오."</f>
        <v>흡연은 폐암 및 각종 심혈관계 질환을 유발할 수 있습니다. 건강을 위해서 금연하십시오.</v>
      </c>
      <c r="E1294" s="1" t="str">
        <f t="shared" si="442"/>
        <v>WOK01</v>
      </c>
      <c r="F1294" s="1" t="str">
        <f>"PTM01"</f>
        <v>PTM01</v>
      </c>
      <c r="G1294" s="1" t="str">
        <f>"DISE"</f>
        <v>DISE</v>
      </c>
      <c r="H1294" s="1" t="str">
        <f>"REL26"</f>
        <v>REL26</v>
      </c>
      <c r="I1294" s="1" t="str">
        <f>""</f>
        <v/>
      </c>
      <c r="J1294" s="1" t="str">
        <f>""</f>
        <v/>
      </c>
      <c r="K1294" s="1" t="str">
        <f>""</f>
        <v/>
      </c>
      <c r="L1294" s="1" t="str">
        <f t="shared" si="439"/>
        <v>R</v>
      </c>
      <c r="M1294" s="1" t="str">
        <f>"T04"</f>
        <v>T04</v>
      </c>
      <c r="N1294" s="1" t="str">
        <f t="shared" si="440"/>
        <v>Y</v>
      </c>
      <c r="O1294" s="1" t="str">
        <f t="shared" si="436"/>
        <v>Y</v>
      </c>
      <c r="P1294" s="1" t="str">
        <f t="shared" si="443"/>
        <v>Y</v>
      </c>
      <c r="Q1294" s="1" t="str">
        <f t="shared" si="438"/>
        <v>A</v>
      </c>
    </row>
    <row r="1295" spans="1:17" x14ac:dyDescent="0.3">
      <c r="A1295" s="1" t="str">
        <f t="shared" ref="A1295:A1306" si="444">"HA"</f>
        <v>HA</v>
      </c>
      <c r="B1295" s="1" t="str">
        <f>"AAA111H"</f>
        <v>AAA111H</v>
      </c>
      <c r="C1295" s="1" t="str">
        <f>"정상"</f>
        <v>정상</v>
      </c>
      <c r="D1295" s="1" t="str">
        <f>"특이소견 없음. 정기적 검진통하여 건강유지하시기 바랍니다."</f>
        <v>특이소견 없음. 정기적 검진통하여 건강유지하시기 바랍니다.</v>
      </c>
      <c r="E1295" s="1" t="str">
        <f t="shared" si="442"/>
        <v>WOK01</v>
      </c>
      <c r="F1295" s="1" t="str">
        <f>"PTM00"</f>
        <v>PTM00</v>
      </c>
      <c r="G1295" s="1" t="str">
        <f>""</f>
        <v/>
      </c>
      <c r="H1295" s="1" t="str">
        <f>""</f>
        <v/>
      </c>
      <c r="I1295" s="1" t="str">
        <f>""</f>
        <v/>
      </c>
      <c r="J1295" s="1" t="str">
        <f>"S01A"</f>
        <v>S01A</v>
      </c>
      <c r="K1295" s="1" t="str">
        <f>"S01A"</f>
        <v>S01A</v>
      </c>
      <c r="L1295" s="1" t="str">
        <f t="shared" si="439"/>
        <v>R</v>
      </c>
      <c r="M1295" s="1" t="str">
        <f>""</f>
        <v/>
      </c>
      <c r="N1295" s="1" t="str">
        <f t="shared" si="440"/>
        <v>Y</v>
      </c>
      <c r="O1295" s="1" t="str">
        <f t="shared" si="436"/>
        <v>Y</v>
      </c>
      <c r="P1295" s="1" t="str">
        <f t="shared" si="443"/>
        <v>Y</v>
      </c>
      <c r="Q1295" s="1" t="str">
        <f t="shared" si="438"/>
        <v>A</v>
      </c>
    </row>
    <row r="1296" spans="1:17" x14ac:dyDescent="0.3">
      <c r="A1296" s="1" t="str">
        <f t="shared" si="444"/>
        <v>HA</v>
      </c>
      <c r="B1296" s="1" t="str">
        <f>"B130101BB"</f>
        <v>B130101BB</v>
      </c>
      <c r="C1296" s="1" t="str">
        <f>"혈뇨검출(요침사)"</f>
        <v>혈뇨검출(요침사)</v>
      </c>
      <c r="D1296" s="1" t="s">
        <v>386</v>
      </c>
      <c r="E1296" s="1" t="str">
        <f>"WOK02"</f>
        <v>WOK02</v>
      </c>
      <c r="F1296" s="1" t="str">
        <f>"PTM01"</f>
        <v>PTM01</v>
      </c>
      <c r="G1296" s="1" t="str">
        <f>"DISN"</f>
        <v>DISN</v>
      </c>
      <c r="H1296" s="1" t="str">
        <f>"REL09"</f>
        <v>REL09</v>
      </c>
      <c r="I1296" s="1" t="str">
        <f>""</f>
        <v/>
      </c>
      <c r="J1296" s="1" t="str">
        <f>""</f>
        <v/>
      </c>
      <c r="K1296" s="1" t="str">
        <f>""</f>
        <v/>
      </c>
      <c r="L1296" s="1" t="str">
        <f t="shared" si="439"/>
        <v>R</v>
      </c>
      <c r="M1296" s="1" t="str">
        <f>"T05"</f>
        <v>T05</v>
      </c>
      <c r="N1296" s="1" t="str">
        <f t="shared" si="440"/>
        <v>Y</v>
      </c>
      <c r="O1296" s="1" t="str">
        <f t="shared" si="436"/>
        <v>Y</v>
      </c>
      <c r="P1296" s="1" t="str">
        <f t="shared" si="443"/>
        <v>Y</v>
      </c>
      <c r="Q1296" s="1" t="str">
        <f t="shared" si="438"/>
        <v>A</v>
      </c>
    </row>
    <row r="1297" spans="1:17" x14ac:dyDescent="0.3">
      <c r="A1297" s="1" t="str">
        <f t="shared" si="444"/>
        <v>HA</v>
      </c>
      <c r="B1297" s="1" t="str">
        <f>"B130501H"</f>
        <v>B130501H</v>
      </c>
      <c r="C1297" s="1" t="str">
        <f>"요단백검출"</f>
        <v>요단백검출</v>
      </c>
      <c r="D1297" s="1" t="str">
        <f>"소변에서 단백성분이 검출됩니다. 소변의 단백성분은 신기능에 이상이 있을때 나타날 수 있으나 심한운동이나 음주후에도 양성으로 나올수 있습니다. 추후 계속 검출될 경우 신장내과 진료 받으십시오."</f>
        <v>소변에서 단백성분이 검출됩니다. 소변의 단백성분은 신기능에 이상이 있을때 나타날 수 있으나 심한운동이나 음주후에도 양성으로 나올수 있습니다. 추후 계속 검출될 경우 신장내과 진료 받으십시오.</v>
      </c>
      <c r="E1297" s="1" t="str">
        <f>""</f>
        <v/>
      </c>
      <c r="F1297" s="1" t="str">
        <f>""</f>
        <v/>
      </c>
      <c r="G1297" s="1" t="str">
        <f>""</f>
        <v/>
      </c>
      <c r="H1297" s="1" t="str">
        <f>""</f>
        <v/>
      </c>
      <c r="I1297" s="1" t="str">
        <f>""</f>
        <v/>
      </c>
      <c r="J1297" s="1" t="str">
        <f>""</f>
        <v/>
      </c>
      <c r="K1297" s="1" t="str">
        <f>""</f>
        <v/>
      </c>
      <c r="L1297" s="1" t="str">
        <f t="shared" si="439"/>
        <v>R</v>
      </c>
      <c r="M1297" s="1" t="str">
        <f>""</f>
        <v/>
      </c>
      <c r="N1297" s="1" t="str">
        <f t="shared" si="440"/>
        <v>Y</v>
      </c>
      <c r="O1297" s="1" t="str">
        <f t="shared" si="436"/>
        <v>Y</v>
      </c>
      <c r="P1297" s="1" t="str">
        <f t="shared" si="443"/>
        <v>Y</v>
      </c>
      <c r="Q1297" s="1" t="str">
        <f t="shared" si="438"/>
        <v>A</v>
      </c>
    </row>
    <row r="1298" spans="1:17" x14ac:dyDescent="0.3">
      <c r="A1298" s="1" t="str">
        <f t="shared" si="444"/>
        <v>HA</v>
      </c>
      <c r="B1298" s="1" t="str">
        <f>"C465001HA"</f>
        <v>C465001HA</v>
      </c>
      <c r="C1298" s="1" t="str">
        <f>"헬리코박터 항체검사 약양성"</f>
        <v>헬리코박터 항체검사 약양성</v>
      </c>
      <c r="D1298" s="1" t="s">
        <v>387</v>
      </c>
      <c r="E1298" s="1" t="str">
        <f>""</f>
        <v/>
      </c>
      <c r="F1298" s="1" t="str">
        <f>""</f>
        <v/>
      </c>
      <c r="G1298" s="1" t="str">
        <f>""</f>
        <v/>
      </c>
      <c r="H1298" s="1" t="str">
        <f>""</f>
        <v/>
      </c>
      <c r="I1298" s="1" t="str">
        <f>""</f>
        <v/>
      </c>
      <c r="J1298" s="1" t="str">
        <f>""</f>
        <v/>
      </c>
      <c r="K1298" s="1" t="str">
        <f>""</f>
        <v/>
      </c>
      <c r="L1298" s="1" t="str">
        <f t="shared" si="439"/>
        <v>R</v>
      </c>
      <c r="M1298" s="1" t="str">
        <f>""</f>
        <v/>
      </c>
      <c r="N1298" s="1" t="str">
        <f t="shared" si="440"/>
        <v>Y</v>
      </c>
      <c r="O1298" s="1" t="str">
        <f t="shared" si="436"/>
        <v>Y</v>
      </c>
      <c r="P1298" s="1" t="str">
        <f t="shared" si="443"/>
        <v>Y</v>
      </c>
      <c r="Q1298" s="1" t="str">
        <f t="shared" si="438"/>
        <v>A</v>
      </c>
    </row>
    <row r="1299" spans="1:17" x14ac:dyDescent="0.3">
      <c r="A1299" s="1" t="str">
        <f t="shared" si="444"/>
        <v>HA</v>
      </c>
      <c r="B1299" s="1" t="str">
        <f>"FER302HH"</f>
        <v>FER302HH</v>
      </c>
      <c r="C1299" s="1" t="str">
        <f>"ferritin 저하"</f>
        <v>ferritin 저하</v>
      </c>
      <c r="D1299" s="1" t="str">
        <f>"혈액검사결과 저장철(ferritin)감소소견이 보입니다. 철분이 많은 음식 섭취를 권합니다. 추후 검진통하여 수치변화 확인하시기 바랍니다."</f>
        <v>혈액검사결과 저장철(ferritin)감소소견이 보입니다. 철분이 많은 음식 섭취를 권합니다. 추후 검진통하여 수치변화 확인하시기 바랍니다.</v>
      </c>
      <c r="E1299" s="1" t="str">
        <f>"WOK02"</f>
        <v>WOK02</v>
      </c>
      <c r="F1299" s="1" t="str">
        <f>""</f>
        <v/>
      </c>
      <c r="G1299" s="1" t="str">
        <f>""</f>
        <v/>
      </c>
      <c r="H1299" s="1" t="str">
        <f>""</f>
        <v/>
      </c>
      <c r="I1299" s="1" t="str">
        <f>""</f>
        <v/>
      </c>
      <c r="J1299" s="1" t="str">
        <f>"C34C"</f>
        <v>C34C</v>
      </c>
      <c r="K1299" s="1" t="str">
        <f>"C34C"</f>
        <v>C34C</v>
      </c>
      <c r="L1299" s="1" t="str">
        <f t="shared" si="439"/>
        <v>R</v>
      </c>
      <c r="M1299" s="1" t="str">
        <f>""</f>
        <v/>
      </c>
      <c r="N1299" s="1" t="str">
        <f t="shared" si="440"/>
        <v>Y</v>
      </c>
      <c r="O1299" s="1" t="str">
        <f t="shared" si="436"/>
        <v>Y</v>
      </c>
      <c r="P1299" s="1" t="str">
        <f t="shared" si="443"/>
        <v>Y</v>
      </c>
      <c r="Q1299" s="1" t="str">
        <f t="shared" si="438"/>
        <v>A</v>
      </c>
    </row>
    <row r="1300" spans="1:17" x14ac:dyDescent="0.3">
      <c r="A1300" s="1" t="str">
        <f t="shared" si="444"/>
        <v>HA</v>
      </c>
      <c r="B1300" s="1" t="str">
        <f>"GHJ18"</f>
        <v>GHJ18</v>
      </c>
      <c r="C1300" s="1" t="str">
        <f>"일반혈액검사 경미한 이상"</f>
        <v>일반혈액검사 경미한 이상</v>
      </c>
      <c r="D1300" s="1" t="s">
        <v>388</v>
      </c>
      <c r="E1300" s="1" t="str">
        <f>""</f>
        <v/>
      </c>
      <c r="F1300" s="1" t="str">
        <f>""</f>
        <v/>
      </c>
      <c r="G1300" s="1" t="str">
        <f>"DISD"</f>
        <v>DISD</v>
      </c>
      <c r="H1300" s="1" t="str">
        <f>"REL12"</f>
        <v>REL12</v>
      </c>
      <c r="I1300" s="1" t="str">
        <f>""</f>
        <v/>
      </c>
      <c r="J1300" s="1" t="str">
        <f>""</f>
        <v/>
      </c>
      <c r="K1300" s="1" t="str">
        <f>""</f>
        <v/>
      </c>
      <c r="L1300" s="1" t="str">
        <f t="shared" si="439"/>
        <v>R</v>
      </c>
      <c r="M1300" s="1" t="str">
        <f>"T01"</f>
        <v>T01</v>
      </c>
      <c r="N1300" s="1" t="str">
        <f t="shared" si="440"/>
        <v>Y</v>
      </c>
      <c r="O1300" s="1" t="str">
        <f t="shared" si="436"/>
        <v>Y</v>
      </c>
      <c r="P1300" s="1" t="str">
        <f t="shared" si="443"/>
        <v>Y</v>
      </c>
      <c r="Q1300" s="1" t="str">
        <f t="shared" si="438"/>
        <v>A</v>
      </c>
    </row>
    <row r="1301" spans="1:17" x14ac:dyDescent="0.3">
      <c r="A1301" s="1" t="str">
        <f t="shared" si="444"/>
        <v>HA</v>
      </c>
      <c r="B1301" s="1" t="str">
        <f>"GHJA"</f>
        <v>GHJA</v>
      </c>
      <c r="C1301" s="1" t="str">
        <f>"A형 간염 항체 음성"</f>
        <v>A형 간염 항체 음성</v>
      </c>
      <c r="D1301" s="1" t="str">
        <f>"A형 간염 검사 결과 항체 음성으로 추가 접종 필요합니다."</f>
        <v>A형 간염 검사 결과 항체 음성으로 추가 접종 필요합니다.</v>
      </c>
      <c r="E1301" s="1" t="str">
        <f>""</f>
        <v/>
      </c>
      <c r="F1301" s="1" t="str">
        <f>""</f>
        <v/>
      </c>
      <c r="G1301" s="1" t="str">
        <f>""</f>
        <v/>
      </c>
      <c r="H1301" s="1" t="str">
        <f>""</f>
        <v/>
      </c>
      <c r="I1301" s="1" t="str">
        <f>""</f>
        <v/>
      </c>
      <c r="J1301" s="1" t="str">
        <f>""</f>
        <v/>
      </c>
      <c r="K1301" s="1" t="str">
        <f>""</f>
        <v/>
      </c>
      <c r="L1301" s="1" t="str">
        <f t="shared" si="439"/>
        <v>R</v>
      </c>
      <c r="M1301" s="1" t="str">
        <f>""</f>
        <v/>
      </c>
      <c r="N1301" s="1" t="str">
        <f t="shared" si="440"/>
        <v>Y</v>
      </c>
      <c r="O1301" s="1" t="str">
        <f t="shared" si="436"/>
        <v>Y</v>
      </c>
      <c r="P1301" s="1" t="str">
        <f t="shared" si="443"/>
        <v>Y</v>
      </c>
      <c r="Q1301" s="1" t="str">
        <f t="shared" si="438"/>
        <v>A</v>
      </c>
    </row>
    <row r="1302" spans="1:17" x14ac:dyDescent="0.3">
      <c r="A1302" s="1" t="str">
        <f t="shared" si="444"/>
        <v>HA</v>
      </c>
      <c r="B1302" s="1" t="str">
        <f>"GHJFE"</f>
        <v>GHJFE</v>
      </c>
      <c r="C1302" s="1" t="str">
        <f>"철분 증가"</f>
        <v>철분 증가</v>
      </c>
      <c r="D1302" s="1" t="str">
        <f>"철(iron)의 수치가 약간 상승해 있습니다. 하지만 단독적인 수치 증가로는 임상적인 의미를 두기 어렵습니다. 추후 정기검진상 수치 변화를 확인하십시오."</f>
        <v>철(iron)의 수치가 약간 상승해 있습니다. 하지만 단독적인 수치 증가로는 임상적인 의미를 두기 어렵습니다. 추후 정기검진상 수치 변화를 확인하십시오.</v>
      </c>
      <c r="E1302" s="1" t="str">
        <f>""</f>
        <v/>
      </c>
      <c r="F1302" s="1" t="str">
        <f>""</f>
        <v/>
      </c>
      <c r="G1302" s="1" t="str">
        <f>""</f>
        <v/>
      </c>
      <c r="H1302" s="1" t="str">
        <f>""</f>
        <v/>
      </c>
      <c r="I1302" s="1" t="str">
        <f>""</f>
        <v/>
      </c>
      <c r="J1302" s="1" t="str">
        <f>""</f>
        <v/>
      </c>
      <c r="K1302" s="1" t="str">
        <f>""</f>
        <v/>
      </c>
      <c r="L1302" s="1" t="str">
        <f t="shared" si="439"/>
        <v>R</v>
      </c>
      <c r="M1302" s="1" t="str">
        <f>""</f>
        <v/>
      </c>
      <c r="N1302" s="1" t="str">
        <f t="shared" si="440"/>
        <v>Y</v>
      </c>
      <c r="O1302" s="1" t="str">
        <f t="shared" si="436"/>
        <v>Y</v>
      </c>
      <c r="P1302" s="1" t="str">
        <f t="shared" si="443"/>
        <v>Y</v>
      </c>
      <c r="Q1302" s="1" t="str">
        <f t="shared" si="438"/>
        <v>A</v>
      </c>
    </row>
    <row r="1303" spans="1:17" x14ac:dyDescent="0.3">
      <c r="A1303" s="1" t="str">
        <f t="shared" si="444"/>
        <v>HA</v>
      </c>
      <c r="B1303" s="1" t="str">
        <f>"GHJU01"</f>
        <v>GHJU01</v>
      </c>
      <c r="C1303" s="1" t="str">
        <f>"요중 박테리아 검출"</f>
        <v>요중 박테리아 검출</v>
      </c>
      <c r="D1303" s="1" t="s">
        <v>389</v>
      </c>
      <c r="E1303" s="1" t="str">
        <f>""</f>
        <v/>
      </c>
      <c r="F1303" s="1" t="str">
        <f>""</f>
        <v/>
      </c>
      <c r="G1303" s="1" t="str">
        <f>"DISN"</f>
        <v>DISN</v>
      </c>
      <c r="H1303" s="1" t="str">
        <f>"REL08"</f>
        <v>REL08</v>
      </c>
      <c r="I1303" s="1" t="str">
        <f>""</f>
        <v/>
      </c>
      <c r="J1303" s="1" t="str">
        <f>""</f>
        <v/>
      </c>
      <c r="K1303" s="1" t="str">
        <f>""</f>
        <v/>
      </c>
      <c r="L1303" s="1" t="str">
        <f t="shared" si="439"/>
        <v>R</v>
      </c>
      <c r="M1303" s="1" t="str">
        <f>"T05"</f>
        <v>T05</v>
      </c>
      <c r="N1303" s="1" t="str">
        <f t="shared" si="440"/>
        <v>Y</v>
      </c>
      <c r="O1303" s="1" t="str">
        <f t="shared" si="436"/>
        <v>Y</v>
      </c>
      <c r="P1303" s="1" t="str">
        <f t="shared" si="443"/>
        <v>Y</v>
      </c>
      <c r="Q1303" s="1" t="str">
        <f t="shared" si="438"/>
        <v>A</v>
      </c>
    </row>
    <row r="1304" spans="1:17" x14ac:dyDescent="0.3">
      <c r="A1304" s="1" t="str">
        <f t="shared" si="444"/>
        <v>HA</v>
      </c>
      <c r="B1304" s="1" t="str">
        <f>"J02401H"</f>
        <v>J02401H</v>
      </c>
      <c r="C1304" s="1" t="str">
        <f>"BUN 감소"</f>
        <v>BUN 감소</v>
      </c>
      <c r="D1304" s="1" t="s">
        <v>390</v>
      </c>
      <c r="E1304" s="1" t="str">
        <f>"WOK02"</f>
        <v>WOK02</v>
      </c>
      <c r="F1304" s="1" t="str">
        <f>"PTM01"</f>
        <v>PTM01</v>
      </c>
      <c r="G1304" s="1" t="str">
        <f>"DISN"</f>
        <v>DISN</v>
      </c>
      <c r="H1304" s="1" t="str">
        <f>"REL08"</f>
        <v>REL08</v>
      </c>
      <c r="I1304" s="1" t="str">
        <f>""</f>
        <v/>
      </c>
      <c r="J1304" s="1" t="str">
        <f>"C07C"</f>
        <v>C07C</v>
      </c>
      <c r="K1304" s="1" t="str">
        <f>"C07C"</f>
        <v>C07C</v>
      </c>
      <c r="L1304" s="1" t="str">
        <f t="shared" si="439"/>
        <v>R</v>
      </c>
      <c r="M1304" s="1" t="str">
        <f>"T05"</f>
        <v>T05</v>
      </c>
      <c r="N1304" s="1" t="str">
        <f t="shared" si="440"/>
        <v>Y</v>
      </c>
      <c r="O1304" s="1" t="str">
        <f t="shared" si="436"/>
        <v>Y</v>
      </c>
      <c r="P1304" s="1" t="str">
        <f t="shared" si="443"/>
        <v>Y</v>
      </c>
      <c r="Q1304" s="1" t="str">
        <f t="shared" si="438"/>
        <v>A</v>
      </c>
    </row>
    <row r="1305" spans="1:17" x14ac:dyDescent="0.3">
      <c r="A1305" s="1" t="str">
        <f t="shared" si="444"/>
        <v>HA</v>
      </c>
      <c r="B1305" s="1" t="str">
        <f>"J0262H"</f>
        <v>J0262H</v>
      </c>
      <c r="C1305" s="1" t="str">
        <f>"혈중 요산 감소"</f>
        <v>혈중 요산 감소</v>
      </c>
      <c r="D1305" s="1" t="s">
        <v>391</v>
      </c>
      <c r="E1305" s="1" t="str">
        <f>""</f>
        <v/>
      </c>
      <c r="F1305" s="1" t="str">
        <f>""</f>
        <v/>
      </c>
      <c r="G1305" s="1" t="str">
        <f>""</f>
        <v/>
      </c>
      <c r="H1305" s="1" t="str">
        <f>""</f>
        <v/>
      </c>
      <c r="I1305" s="1" t="str">
        <f>""</f>
        <v/>
      </c>
      <c r="J1305" s="1" t="str">
        <f>""</f>
        <v/>
      </c>
      <c r="K1305" s="1" t="str">
        <f>""</f>
        <v/>
      </c>
      <c r="L1305" s="1" t="str">
        <f t="shared" si="439"/>
        <v>R</v>
      </c>
      <c r="M1305" s="1" t="str">
        <f>""</f>
        <v/>
      </c>
      <c r="N1305" s="1" t="str">
        <f t="shared" si="440"/>
        <v>Y</v>
      </c>
      <c r="O1305" s="1" t="str">
        <f t="shared" si="436"/>
        <v>Y</v>
      </c>
      <c r="P1305" s="1" t="str">
        <f t="shared" si="443"/>
        <v>Y</v>
      </c>
      <c r="Q1305" s="1" t="str">
        <f t="shared" si="438"/>
        <v>A</v>
      </c>
    </row>
    <row r="1306" spans="1:17" x14ac:dyDescent="0.3">
      <c r="A1306" s="1" t="str">
        <f t="shared" si="444"/>
        <v>HA</v>
      </c>
      <c r="B1306" s="1" t="str">
        <f>"TBIJC01H"</f>
        <v>TBIJC01H</v>
      </c>
      <c r="C1306" s="1" t="str">
        <f>"혈중빌리루빈 증가"</f>
        <v>혈중빌리루빈 증가</v>
      </c>
      <c r="D1306" s="1" t="s">
        <v>392</v>
      </c>
      <c r="E1306" s="1" t="str">
        <f>""</f>
        <v/>
      </c>
      <c r="F1306" s="1" t="str">
        <f>""</f>
        <v/>
      </c>
      <c r="G1306" s="1" t="str">
        <f>""</f>
        <v/>
      </c>
      <c r="H1306" s="1" t="str">
        <f>""</f>
        <v/>
      </c>
      <c r="I1306" s="1" t="str">
        <f>""</f>
        <v/>
      </c>
      <c r="J1306" s="1" t="str">
        <f>""</f>
        <v/>
      </c>
      <c r="K1306" s="1" t="str">
        <f>""</f>
        <v/>
      </c>
      <c r="L1306" s="1" t="str">
        <f t="shared" si="439"/>
        <v>R</v>
      </c>
      <c r="M1306" s="1" t="str">
        <f>""</f>
        <v/>
      </c>
      <c r="N1306" s="1" t="str">
        <f t="shared" si="440"/>
        <v>Y</v>
      </c>
      <c r="O1306" s="1" t="str">
        <f t="shared" si="436"/>
        <v>Y</v>
      </c>
      <c r="P1306" s="1" t="str">
        <f t="shared" si="443"/>
        <v>Y</v>
      </c>
      <c r="Q1306" s="1" t="str">
        <f t="shared" si="438"/>
        <v>A</v>
      </c>
    </row>
    <row r="1307" spans="1:17" x14ac:dyDescent="0.3">
      <c r="A1307" s="1" t="str">
        <f t="shared" ref="A1307:A1326" si="445">"HB"</f>
        <v>HB</v>
      </c>
      <c r="B1307" s="1" t="str">
        <f>"ANE201A3"</f>
        <v>ANE201A3</v>
      </c>
      <c r="C1307" s="1" t="str">
        <f>"혈색소 관련수치 경미한 이상"</f>
        <v>혈색소 관련수치 경미한 이상</v>
      </c>
      <c r="D1307" s="1" t="s">
        <v>5</v>
      </c>
      <c r="E1307" s="1" t="str">
        <f>""</f>
        <v/>
      </c>
      <c r="F1307" s="1" t="str">
        <f>""</f>
        <v/>
      </c>
      <c r="G1307" s="1" t="str">
        <f>""</f>
        <v/>
      </c>
      <c r="H1307" s="1" t="str">
        <f>""</f>
        <v/>
      </c>
      <c r="I1307" s="1" t="str">
        <f>""</f>
        <v/>
      </c>
      <c r="J1307" s="1" t="str">
        <f>"S01A"</f>
        <v>S01A</v>
      </c>
      <c r="K1307" s="1" t="str">
        <f>"S01A"</f>
        <v>S01A</v>
      </c>
      <c r="L1307" s="1" t="str">
        <f t="shared" si="439"/>
        <v>R</v>
      </c>
      <c r="M1307" s="1" t="str">
        <f>""</f>
        <v/>
      </c>
      <c r="N1307" s="1" t="str">
        <f t="shared" si="440"/>
        <v>Y</v>
      </c>
      <c r="O1307" s="1" t="str">
        <f t="shared" si="436"/>
        <v>Y</v>
      </c>
      <c r="P1307" s="1" t="str">
        <f t="shared" si="443"/>
        <v>Y</v>
      </c>
      <c r="Q1307" s="1" t="str">
        <f t="shared" si="438"/>
        <v>A</v>
      </c>
    </row>
    <row r="1308" spans="1:17" x14ac:dyDescent="0.3">
      <c r="A1308" s="1" t="str">
        <f t="shared" si="445"/>
        <v>HB</v>
      </c>
      <c r="B1308" s="1" t="str">
        <f>"ANE201B"</f>
        <v>ANE201B</v>
      </c>
      <c r="C1308" s="1" t="str">
        <f>"혈색소 관련수치 경미한 이상"</f>
        <v>혈색소 관련수치 경미한 이상</v>
      </c>
      <c r="D1308" s="1" t="s">
        <v>393</v>
      </c>
      <c r="E1308" s="1" t="str">
        <f>"WOK01"</f>
        <v>WOK01</v>
      </c>
      <c r="F1308" s="1" t="str">
        <f>"PTM00"</f>
        <v>PTM00</v>
      </c>
      <c r="G1308" s="1" t="str">
        <f>"DISD"</f>
        <v>DISD</v>
      </c>
      <c r="H1308" s="1" t="str">
        <f>"REL12"</f>
        <v>REL12</v>
      </c>
      <c r="I1308" s="1" t="str">
        <f>""</f>
        <v/>
      </c>
      <c r="J1308" s="1" t="str">
        <f>"S01A"</f>
        <v>S01A</v>
      </c>
      <c r="K1308" s="1" t="str">
        <f>"S01A"</f>
        <v>S01A</v>
      </c>
      <c r="L1308" s="1" t="str">
        <f t="shared" si="439"/>
        <v>R</v>
      </c>
      <c r="M1308" s="1" t="str">
        <f>"T01"</f>
        <v>T01</v>
      </c>
      <c r="N1308" s="1" t="str">
        <f t="shared" si="440"/>
        <v>Y</v>
      </c>
      <c r="O1308" s="1" t="str">
        <f t="shared" si="436"/>
        <v>Y</v>
      </c>
      <c r="P1308" s="1" t="str">
        <f t="shared" si="443"/>
        <v>Y</v>
      </c>
      <c r="Q1308" s="1" t="str">
        <f t="shared" si="438"/>
        <v>A</v>
      </c>
    </row>
    <row r="1309" spans="1:17" x14ac:dyDescent="0.3">
      <c r="A1309" s="1" t="str">
        <f t="shared" si="445"/>
        <v>HB</v>
      </c>
      <c r="B1309" s="1" t="str">
        <f>"B131003B"</f>
        <v>B131003B</v>
      </c>
      <c r="C1309" s="1" t="str">
        <f>"혈색소증가"</f>
        <v>혈색소증가</v>
      </c>
      <c r="D1309" s="1" t="str">
        <f>"혈액검사에서 혈색소가 증가하였습니다. 혈액질환이 있을 경우 혈색소가 증가할 수 있으나 탈수에 따른 혈액농축이나 기타 일시적인 현상에 의해 증가하는 경우도 있습니다. 정기적 검진 통하여 수치변화 확인해보시기 바랍니다."</f>
        <v>혈액검사에서 혈색소가 증가하였습니다. 혈액질환이 있을 경우 혈색소가 증가할 수 있으나 탈수에 따른 혈액농축이나 기타 일시적인 현상에 의해 증가하는 경우도 있습니다. 정기적 검진 통하여 수치변화 확인해보시기 바랍니다.</v>
      </c>
      <c r="E1309" s="1" t="str">
        <f>""</f>
        <v/>
      </c>
      <c r="F1309" s="1" t="str">
        <f>""</f>
        <v/>
      </c>
      <c r="G1309" s="1" t="str">
        <f>""</f>
        <v/>
      </c>
      <c r="H1309" s="1" t="str">
        <f>""</f>
        <v/>
      </c>
      <c r="I1309" s="1" t="str">
        <f>""</f>
        <v/>
      </c>
      <c r="J1309" s="1" t="str">
        <f>""</f>
        <v/>
      </c>
      <c r="K1309" s="1" t="str">
        <f>""</f>
        <v/>
      </c>
      <c r="L1309" s="1" t="str">
        <f t="shared" si="439"/>
        <v>R</v>
      </c>
      <c r="M1309" s="1" t="str">
        <f>""</f>
        <v/>
      </c>
      <c r="N1309" s="1" t="str">
        <f t="shared" si="440"/>
        <v>Y</v>
      </c>
      <c r="O1309" s="1" t="str">
        <f t="shared" si="436"/>
        <v>Y</v>
      </c>
      <c r="P1309" s="1" t="str">
        <f t="shared" si="443"/>
        <v>Y</v>
      </c>
      <c r="Q1309" s="1" t="str">
        <f t="shared" si="438"/>
        <v>A</v>
      </c>
    </row>
    <row r="1310" spans="1:17" x14ac:dyDescent="0.3">
      <c r="A1310" s="1" t="str">
        <f t="shared" si="445"/>
        <v>HB</v>
      </c>
      <c r="B1310" s="1" t="str">
        <f>"B263001HH"</f>
        <v>B263001HH</v>
      </c>
      <c r="C1310" s="1" t="s">
        <v>394</v>
      </c>
      <c r="D1310" s="1" t="s">
        <v>395</v>
      </c>
      <c r="E1310" s="1" t="str">
        <f>""</f>
        <v/>
      </c>
      <c r="F1310" s="1" t="str">
        <f>""</f>
        <v/>
      </c>
      <c r="G1310" s="1" t="str">
        <f>""</f>
        <v/>
      </c>
      <c r="H1310" s="1" t="str">
        <f>""</f>
        <v/>
      </c>
      <c r="I1310" s="1" t="str">
        <f>""</f>
        <v/>
      </c>
      <c r="J1310" s="1" t="str">
        <f>""</f>
        <v/>
      </c>
      <c r="K1310" s="1" t="str">
        <f>""</f>
        <v/>
      </c>
      <c r="L1310" s="1" t="str">
        <f t="shared" si="439"/>
        <v>R</v>
      </c>
      <c r="M1310" s="1" t="str">
        <f>""</f>
        <v/>
      </c>
      <c r="N1310" s="1" t="str">
        <f t="shared" si="440"/>
        <v>Y</v>
      </c>
      <c r="O1310" s="1" t="str">
        <f t="shared" si="436"/>
        <v>Y</v>
      </c>
      <c r="P1310" s="1" t="str">
        <f t="shared" si="443"/>
        <v>Y</v>
      </c>
      <c r="Q1310" s="1" t="str">
        <f t="shared" si="438"/>
        <v>A</v>
      </c>
    </row>
    <row r="1311" spans="1:17" x14ac:dyDescent="0.3">
      <c r="A1311" s="1" t="str">
        <f t="shared" si="445"/>
        <v>HB</v>
      </c>
      <c r="B1311" s="1" t="str">
        <f>"C460001HH"</f>
        <v>C460001HH</v>
      </c>
      <c r="C1311" s="1" t="str">
        <f>"매독침강반응 약양성"</f>
        <v>매독침강반응 약양성</v>
      </c>
      <c r="D1311" s="1" t="str">
        <f>"매독반응검사 결과 약양성반응이 나타납니다. 간혹 다른 질병 상태로 인하여 교차양성이 나오는 경우가 있으므로 내원하시어 상담 및 진료를 받아보시기 바랍니다."</f>
        <v>매독반응검사 결과 약양성반응이 나타납니다. 간혹 다른 질병 상태로 인하여 교차양성이 나오는 경우가 있으므로 내원하시어 상담 및 진료를 받아보시기 바랍니다.</v>
      </c>
      <c r="E1311" s="1" t="str">
        <f>""</f>
        <v/>
      </c>
      <c r="F1311" s="1" t="str">
        <f>""</f>
        <v/>
      </c>
      <c r="G1311" s="1" t="str">
        <f>""</f>
        <v/>
      </c>
      <c r="H1311" s="1" t="str">
        <f>""</f>
        <v/>
      </c>
      <c r="I1311" s="1" t="str">
        <f>""</f>
        <v/>
      </c>
      <c r="J1311" s="1" t="str">
        <f>""</f>
        <v/>
      </c>
      <c r="K1311" s="1" t="str">
        <f>""</f>
        <v/>
      </c>
      <c r="L1311" s="1" t="str">
        <f t="shared" si="439"/>
        <v>R</v>
      </c>
      <c r="M1311" s="1" t="str">
        <f>""</f>
        <v/>
      </c>
      <c r="N1311" s="1" t="str">
        <f t="shared" si="440"/>
        <v>Y</v>
      </c>
      <c r="O1311" s="1" t="str">
        <f t="shared" si="436"/>
        <v>Y</v>
      </c>
      <c r="P1311" s="1" t="str">
        <f t="shared" si="443"/>
        <v>Y</v>
      </c>
      <c r="Q1311" s="1" t="str">
        <f t="shared" si="438"/>
        <v>A</v>
      </c>
    </row>
    <row r="1312" spans="1:17" x14ac:dyDescent="0.3">
      <c r="A1312" s="1" t="str">
        <f t="shared" si="445"/>
        <v>HB</v>
      </c>
      <c r="B1312" s="1" t="str">
        <f>"C465002"</f>
        <v>C465002</v>
      </c>
      <c r="C1312" s="1" t="str">
        <f>"헬리코박터 의심"</f>
        <v>헬리코박터 의심</v>
      </c>
      <c r="D1312" s="1" t="s">
        <v>396</v>
      </c>
      <c r="E1312" s="1" t="str">
        <f>""</f>
        <v/>
      </c>
      <c r="F1312" s="1" t="str">
        <f>""</f>
        <v/>
      </c>
      <c r="G1312" s="1" t="str">
        <f>""</f>
        <v/>
      </c>
      <c r="H1312" s="1" t="str">
        <f>""</f>
        <v/>
      </c>
      <c r="I1312" s="1" t="str">
        <f>""</f>
        <v/>
      </c>
      <c r="J1312" s="1" t="str">
        <f>""</f>
        <v/>
      </c>
      <c r="K1312" s="1" t="str">
        <f>""</f>
        <v/>
      </c>
      <c r="L1312" s="1" t="str">
        <f t="shared" si="439"/>
        <v>R</v>
      </c>
      <c r="M1312" s="1" t="str">
        <f>""</f>
        <v/>
      </c>
      <c r="N1312" s="1" t="str">
        <f t="shared" si="440"/>
        <v>Y</v>
      </c>
      <c r="O1312" s="1" t="str">
        <f t="shared" si="436"/>
        <v>Y</v>
      </c>
      <c r="P1312" s="1" t="str">
        <f t="shared" si="443"/>
        <v>Y</v>
      </c>
      <c r="Q1312" s="1" t="str">
        <f t="shared" si="438"/>
        <v>A</v>
      </c>
    </row>
    <row r="1313" spans="1:17" x14ac:dyDescent="0.3">
      <c r="A1313" s="1" t="str">
        <f t="shared" si="445"/>
        <v>HB</v>
      </c>
      <c r="B1313" s="1" t="str">
        <f>"CRPH"</f>
        <v>CRPH</v>
      </c>
      <c r="C1313" s="1" t="str">
        <f>"CRP(반응성 단백)상승"</f>
        <v>CRP(반응성 단백)상승</v>
      </c>
      <c r="D1313" s="1" t="str">
        <f>"염증지표(CRP)가 증가하였습니다. 염증지표(CRP)는 주로 염증성 질환시 양성으로 나오지만 일시적 현상으로도 나타날 수 있습니다. 감기증상이나 몸살같은 감염이나 조직손상등이 있는 경우 진료 받으시기 바랍니다."</f>
        <v>염증지표(CRP)가 증가하였습니다. 염증지표(CRP)는 주로 염증성 질환시 양성으로 나오지만 일시적 현상으로도 나타날 수 있습니다. 감기증상이나 몸살같은 감염이나 조직손상등이 있는 경우 진료 받으시기 바랍니다.</v>
      </c>
      <c r="E1313" s="1" t="str">
        <f>""</f>
        <v/>
      </c>
      <c r="F1313" s="1" t="str">
        <f>""</f>
        <v/>
      </c>
      <c r="G1313" s="1" t="str">
        <f>""</f>
        <v/>
      </c>
      <c r="H1313" s="1" t="str">
        <f>""</f>
        <v/>
      </c>
      <c r="I1313" s="1" t="str">
        <f>""</f>
        <v/>
      </c>
      <c r="J1313" s="1" t="str">
        <f>""</f>
        <v/>
      </c>
      <c r="K1313" s="1" t="str">
        <f>""</f>
        <v/>
      </c>
      <c r="L1313" s="1" t="str">
        <f t="shared" si="439"/>
        <v>R</v>
      </c>
      <c r="M1313" s="1" t="str">
        <f>""</f>
        <v/>
      </c>
      <c r="N1313" s="1" t="str">
        <f t="shared" si="440"/>
        <v>Y</v>
      </c>
      <c r="O1313" s="1" t="str">
        <f t="shared" si="436"/>
        <v>Y</v>
      </c>
      <c r="P1313" s="1" t="str">
        <f t="shared" si="443"/>
        <v>Y</v>
      </c>
      <c r="Q1313" s="1" t="str">
        <f t="shared" si="438"/>
        <v>A</v>
      </c>
    </row>
    <row r="1314" spans="1:17" x14ac:dyDescent="0.3">
      <c r="A1314" s="1" t="str">
        <f t="shared" si="445"/>
        <v>HB</v>
      </c>
      <c r="B1314" s="1" t="str">
        <f>"FER301H"</f>
        <v>FER301H</v>
      </c>
      <c r="C1314" s="1" t="str">
        <f>"ferritin 상승"</f>
        <v>ferritin 상승</v>
      </c>
      <c r="D1314" s="1" t="str">
        <f>"혈중 저장철(ferritin) 수치 상승하였습니다. 하지만 단독적인 수치 증가로는 임상적인 의미를 두기 어렵습니다. 추후 정기검진상 수치 변화를 확인하십시오."</f>
        <v>혈중 저장철(ferritin) 수치 상승하였습니다. 하지만 단독적인 수치 증가로는 임상적인 의미를 두기 어렵습니다. 추후 정기검진상 수치 변화를 확인하십시오.</v>
      </c>
      <c r="E1314" s="1" t="str">
        <f>"WOK02"</f>
        <v>WOK02</v>
      </c>
      <c r="F1314" s="1" t="str">
        <f>""</f>
        <v/>
      </c>
      <c r="G1314" s="1" t="str">
        <f>""</f>
        <v/>
      </c>
      <c r="H1314" s="1" t="str">
        <f>""</f>
        <v/>
      </c>
      <c r="I1314" s="1" t="str">
        <f>""</f>
        <v/>
      </c>
      <c r="J1314" s="1" t="str">
        <f>"C34C"</f>
        <v>C34C</v>
      </c>
      <c r="K1314" s="1" t="str">
        <f>"C34C"</f>
        <v>C34C</v>
      </c>
      <c r="L1314" s="1" t="str">
        <f t="shared" si="439"/>
        <v>R</v>
      </c>
      <c r="M1314" s="1" t="str">
        <f>""</f>
        <v/>
      </c>
      <c r="N1314" s="1" t="str">
        <f t="shared" si="440"/>
        <v>Y</v>
      </c>
      <c r="O1314" s="1" t="str">
        <f t="shared" si="436"/>
        <v>Y</v>
      </c>
      <c r="P1314" s="1" t="str">
        <f t="shared" si="443"/>
        <v>Y</v>
      </c>
      <c r="Q1314" s="1" t="str">
        <f t="shared" si="438"/>
        <v>A</v>
      </c>
    </row>
    <row r="1315" spans="1:17" x14ac:dyDescent="0.3">
      <c r="A1315" s="1" t="str">
        <f t="shared" si="445"/>
        <v>HB</v>
      </c>
      <c r="B1315" s="1" t="str">
        <f>"HPT201H"</f>
        <v>HPT201H</v>
      </c>
      <c r="C1315" s="1" t="str">
        <f>"고혈압전단계"</f>
        <v>고혈압전단계</v>
      </c>
      <c r="D1315" s="1" t="str">
        <f>"고혈압전단계 입니다. 저염식이 및 규칙적인 운동 등 건강관리 하시기 바랍니다."</f>
        <v>고혈압전단계 입니다. 저염식이 및 규칙적인 운동 등 건강관리 하시기 바랍니다.</v>
      </c>
      <c r="E1315" s="1" t="str">
        <f>"WOK01"</f>
        <v>WOK01</v>
      </c>
      <c r="F1315" s="1" t="str">
        <f>"PTM00"</f>
        <v>PTM00</v>
      </c>
      <c r="G1315" s="1" t="str">
        <f>"DISI"</f>
        <v>DISI</v>
      </c>
      <c r="H1315" s="1" t="str">
        <f>"REL03"</f>
        <v>REL03</v>
      </c>
      <c r="I1315" s="1" t="str">
        <f>""</f>
        <v/>
      </c>
      <c r="J1315" s="1" t="str">
        <f>""</f>
        <v/>
      </c>
      <c r="K1315" s="1" t="str">
        <f>""</f>
        <v/>
      </c>
      <c r="L1315" s="1" t="str">
        <f t="shared" si="439"/>
        <v>R</v>
      </c>
      <c r="M1315" s="1" t="str">
        <f>"T03"</f>
        <v>T03</v>
      </c>
      <c r="N1315" s="1" t="str">
        <f t="shared" si="440"/>
        <v>Y</v>
      </c>
      <c r="O1315" s="1" t="str">
        <f t="shared" si="436"/>
        <v>Y</v>
      </c>
      <c r="P1315" s="1" t="str">
        <f t="shared" si="443"/>
        <v>Y</v>
      </c>
      <c r="Q1315" s="1" t="str">
        <f t="shared" si="438"/>
        <v>A</v>
      </c>
    </row>
    <row r="1316" spans="1:17" x14ac:dyDescent="0.3">
      <c r="A1316" s="1" t="str">
        <f t="shared" si="445"/>
        <v>HB</v>
      </c>
      <c r="B1316" s="1" t="str">
        <f>"J0118H"</f>
        <v>J0118H</v>
      </c>
      <c r="C1316" s="1" t="str">
        <f>"철분 감소"</f>
        <v>철분 감소</v>
      </c>
      <c r="D1316" s="1" t="s">
        <v>397</v>
      </c>
      <c r="E1316" s="1" t="str">
        <f>""</f>
        <v/>
      </c>
      <c r="F1316" s="1" t="str">
        <f>""</f>
        <v/>
      </c>
      <c r="G1316" s="1" t="str">
        <f>""</f>
        <v/>
      </c>
      <c r="H1316" s="1" t="str">
        <f>""</f>
        <v/>
      </c>
      <c r="I1316" s="1" t="str">
        <f>""</f>
        <v/>
      </c>
      <c r="J1316" s="1" t="str">
        <f>""</f>
        <v/>
      </c>
      <c r="K1316" s="1" t="str">
        <f>""</f>
        <v/>
      </c>
      <c r="L1316" s="1" t="str">
        <f t="shared" si="439"/>
        <v>R</v>
      </c>
      <c r="M1316" s="1" t="str">
        <f>""</f>
        <v/>
      </c>
      <c r="N1316" s="1" t="str">
        <f t="shared" si="440"/>
        <v>Y</v>
      </c>
      <c r="O1316" s="1" t="str">
        <f t="shared" si="436"/>
        <v>Y</v>
      </c>
      <c r="P1316" s="1" t="str">
        <f t="shared" si="443"/>
        <v>Y</v>
      </c>
      <c r="Q1316" s="1" t="str">
        <f t="shared" si="438"/>
        <v>A</v>
      </c>
    </row>
    <row r="1317" spans="1:17" x14ac:dyDescent="0.3">
      <c r="A1317" s="1" t="str">
        <f t="shared" si="445"/>
        <v>HB</v>
      </c>
      <c r="B1317" s="1" t="str">
        <f>"L032002H"</f>
        <v>L032002H</v>
      </c>
      <c r="C1317" s="1" t="str">
        <f>"B형간염보균 추정"</f>
        <v>B형간염보균 추정</v>
      </c>
      <c r="D1317" s="1" t="s">
        <v>398</v>
      </c>
      <c r="E1317" s="1" t="str">
        <f>"WOK02"</f>
        <v>WOK02</v>
      </c>
      <c r="F1317" s="1" t="str">
        <f>""</f>
        <v/>
      </c>
      <c r="G1317" s="1" t="str">
        <f>"DISB"</f>
        <v>DISB</v>
      </c>
      <c r="H1317" s="1" t="str">
        <f>"REL05"</f>
        <v>REL05</v>
      </c>
      <c r="I1317" s="1" t="str">
        <f>""</f>
        <v/>
      </c>
      <c r="J1317" s="1" t="str">
        <f>"C05C"</f>
        <v>C05C</v>
      </c>
      <c r="K1317" s="1" t="str">
        <f>"C05C"</f>
        <v>C05C</v>
      </c>
      <c r="L1317" s="1" t="str">
        <f t="shared" si="439"/>
        <v>R</v>
      </c>
      <c r="M1317" s="1" t="str">
        <f>"T02"</f>
        <v>T02</v>
      </c>
      <c r="N1317" s="1" t="str">
        <f t="shared" si="440"/>
        <v>Y</v>
      </c>
      <c r="O1317" s="1" t="str">
        <f t="shared" si="436"/>
        <v>Y</v>
      </c>
      <c r="P1317" s="1" t="str">
        <f t="shared" si="443"/>
        <v>Y</v>
      </c>
      <c r="Q1317" s="1" t="str">
        <f t="shared" si="438"/>
        <v>A</v>
      </c>
    </row>
    <row r="1318" spans="1:17" x14ac:dyDescent="0.3">
      <c r="A1318" s="1" t="str">
        <f t="shared" si="445"/>
        <v>HB</v>
      </c>
      <c r="B1318" s="1" t="str">
        <f>"L066502"</f>
        <v>L066502</v>
      </c>
      <c r="C1318" s="1" t="str">
        <f>"호모시스테인 상승"</f>
        <v>호모시스테인 상승</v>
      </c>
      <c r="D1318" s="1" t="s">
        <v>399</v>
      </c>
      <c r="E1318" s="1" t="str">
        <f>""</f>
        <v/>
      </c>
      <c r="F1318" s="1" t="str">
        <f>""</f>
        <v/>
      </c>
      <c r="G1318" s="1" t="str">
        <f>""</f>
        <v/>
      </c>
      <c r="H1318" s="1" t="str">
        <f>""</f>
        <v/>
      </c>
      <c r="I1318" s="1" t="str">
        <f>""</f>
        <v/>
      </c>
      <c r="J1318" s="1" t="str">
        <f>""</f>
        <v/>
      </c>
      <c r="K1318" s="1" t="str">
        <f>""</f>
        <v/>
      </c>
      <c r="L1318" s="1" t="str">
        <f t="shared" si="439"/>
        <v>R</v>
      </c>
      <c r="M1318" s="1" t="str">
        <f>""</f>
        <v/>
      </c>
      <c r="N1318" s="1" t="str">
        <f t="shared" si="440"/>
        <v>Y</v>
      </c>
      <c r="O1318" s="1" t="str">
        <f t="shared" si="436"/>
        <v>Y</v>
      </c>
      <c r="P1318" s="1" t="str">
        <f t="shared" si="443"/>
        <v>Y</v>
      </c>
      <c r="Q1318" s="1" t="str">
        <f t="shared" si="438"/>
        <v>A</v>
      </c>
    </row>
    <row r="1319" spans="1:17" x14ac:dyDescent="0.3">
      <c r="A1319" s="1" t="str">
        <f t="shared" si="445"/>
        <v>HB</v>
      </c>
      <c r="B1319" s="1" t="str">
        <f>"L104001H"</f>
        <v>L104001H</v>
      </c>
      <c r="C1319" s="1" t="str">
        <f>"적혈구 감소"</f>
        <v>적혈구 감소</v>
      </c>
      <c r="D1319" s="1" t="str">
        <f>"혈액검사에서 적혈구수가 감소되어 있습니다. 적혈구가 많이 감소할 경우 빈혈로 이어집니다. 고른 식이와 영양섭취에 주의하시고 정기검진 통하여 수치변화 확인하시기바랍니다."</f>
        <v>혈액검사에서 적혈구수가 감소되어 있습니다. 적혈구가 많이 감소할 경우 빈혈로 이어집니다. 고른 식이와 영양섭취에 주의하시고 정기검진 통하여 수치변화 확인하시기바랍니다.</v>
      </c>
      <c r="E1319" s="1" t="str">
        <f>""</f>
        <v/>
      </c>
      <c r="F1319" s="1" t="str">
        <f>""</f>
        <v/>
      </c>
      <c r="G1319" s="1" t="str">
        <f>""</f>
        <v/>
      </c>
      <c r="H1319" s="1" t="str">
        <f>""</f>
        <v/>
      </c>
      <c r="I1319" s="1" t="str">
        <f>""</f>
        <v/>
      </c>
      <c r="J1319" s="1" t="str">
        <f>""</f>
        <v/>
      </c>
      <c r="K1319" s="1" t="str">
        <f>""</f>
        <v/>
      </c>
      <c r="L1319" s="1" t="str">
        <f t="shared" si="439"/>
        <v>R</v>
      </c>
      <c r="M1319" s="1" t="str">
        <f>""</f>
        <v/>
      </c>
      <c r="N1319" s="1" t="str">
        <f t="shared" si="440"/>
        <v>Y</v>
      </c>
      <c r="O1319" s="1" t="str">
        <f t="shared" si="436"/>
        <v>Y</v>
      </c>
      <c r="P1319" s="1" t="str">
        <f t="shared" si="443"/>
        <v>Y</v>
      </c>
      <c r="Q1319" s="1" t="str">
        <f t="shared" si="438"/>
        <v>A</v>
      </c>
    </row>
    <row r="1320" spans="1:17" x14ac:dyDescent="0.3">
      <c r="A1320" s="1" t="str">
        <f t="shared" si="445"/>
        <v>HB</v>
      </c>
      <c r="B1320" s="1" t="str">
        <f>"L106003H"</f>
        <v>L106003H</v>
      </c>
      <c r="C1320" s="1" t="str">
        <f>"혈소판 감소"</f>
        <v>혈소판 감소</v>
      </c>
      <c r="D1320" s="1" t="str">
        <f>"혈액검사에서 혈소판수가 감소하였습니다. 혈액질환이 있을 경우 감소할 수 있으나 일시적인 현상에 의해 나타나는 경우도 있습니다. 추후 검진 통하여 수치변화 확인하시기 바랍니다."</f>
        <v>혈액검사에서 혈소판수가 감소하였습니다. 혈액질환이 있을 경우 감소할 수 있으나 일시적인 현상에 의해 나타나는 경우도 있습니다. 추후 검진 통하여 수치변화 확인하시기 바랍니다.</v>
      </c>
      <c r="E1320" s="1" t="str">
        <f>""</f>
        <v/>
      </c>
      <c r="F1320" s="1" t="str">
        <f>""</f>
        <v/>
      </c>
      <c r="G1320" s="1" t="str">
        <f>""</f>
        <v/>
      </c>
      <c r="H1320" s="1" t="str">
        <f>""</f>
        <v/>
      </c>
      <c r="I1320" s="1" t="str">
        <f>""</f>
        <v/>
      </c>
      <c r="J1320" s="1" t="str">
        <f>""</f>
        <v/>
      </c>
      <c r="K1320" s="1" t="str">
        <f>""</f>
        <v/>
      </c>
      <c r="L1320" s="1" t="str">
        <f t="shared" si="439"/>
        <v>R</v>
      </c>
      <c r="M1320" s="1" t="str">
        <f>""</f>
        <v/>
      </c>
      <c r="N1320" s="1" t="str">
        <f t="shared" si="440"/>
        <v>Y</v>
      </c>
      <c r="O1320" s="1" t="str">
        <f t="shared" si="436"/>
        <v>Y</v>
      </c>
      <c r="P1320" s="1" t="str">
        <f t="shared" si="443"/>
        <v>Y</v>
      </c>
      <c r="Q1320" s="1" t="str">
        <f t="shared" si="438"/>
        <v>A</v>
      </c>
    </row>
    <row r="1321" spans="1:17" x14ac:dyDescent="0.3">
      <c r="A1321" s="1" t="str">
        <f t="shared" si="445"/>
        <v>HB</v>
      </c>
      <c r="B1321" s="1" t="str">
        <f>"L241101H"</f>
        <v>L241101H</v>
      </c>
      <c r="C1321" s="1" t="str">
        <f>"고지혈증주의 (콜레스테롤 상승)"</f>
        <v>고지혈증주의 (콜레스테롤 상승)</v>
      </c>
      <c r="D1321" s="1" t="str">
        <f>"혈중 콜레스테롤이 약간 증가했습니다. 식이요법과 운동으로 혈중 콜레스테롤이 높아지지 않도록 조심하세요."</f>
        <v>혈중 콜레스테롤이 약간 증가했습니다. 식이요법과 운동으로 혈중 콜레스테롤이 높아지지 않도록 조심하세요.</v>
      </c>
      <c r="E1321" s="1" t="str">
        <f>""</f>
        <v/>
      </c>
      <c r="F1321" s="1" t="str">
        <f>""</f>
        <v/>
      </c>
      <c r="G1321" s="1" t="str">
        <f>""</f>
        <v/>
      </c>
      <c r="H1321" s="1" t="str">
        <f>""</f>
        <v/>
      </c>
      <c r="I1321" s="1" t="str">
        <f>""</f>
        <v/>
      </c>
      <c r="J1321" s="1" t="str">
        <f>""</f>
        <v/>
      </c>
      <c r="K1321" s="1" t="str">
        <f>""</f>
        <v/>
      </c>
      <c r="L1321" s="1" t="str">
        <f t="shared" si="439"/>
        <v>R</v>
      </c>
      <c r="M1321" s="1" t="str">
        <f>""</f>
        <v/>
      </c>
      <c r="N1321" s="1" t="str">
        <f t="shared" si="440"/>
        <v>Y</v>
      </c>
      <c r="O1321" s="1" t="str">
        <f t="shared" si="436"/>
        <v>Y</v>
      </c>
      <c r="P1321" s="1" t="str">
        <f t="shared" si="443"/>
        <v>Y</v>
      </c>
      <c r="Q1321" s="1" t="str">
        <f t="shared" si="438"/>
        <v>A</v>
      </c>
    </row>
    <row r="1322" spans="1:17" x14ac:dyDescent="0.3">
      <c r="A1322" s="1" t="str">
        <f t="shared" si="445"/>
        <v>HB</v>
      </c>
      <c r="B1322" s="1" t="str">
        <f>"L257001H"</f>
        <v>L257001H</v>
      </c>
      <c r="C1322" s="1" t="str">
        <f>"간기능저하"</f>
        <v>간기능저하</v>
      </c>
      <c r="D1322" s="1" t="s">
        <v>400</v>
      </c>
      <c r="E1322" s="1" t="str">
        <f>""</f>
        <v/>
      </c>
      <c r="F1322" s="1" t="str">
        <f>""</f>
        <v/>
      </c>
      <c r="G1322" s="1" t="str">
        <f>""</f>
        <v/>
      </c>
      <c r="H1322" s="1" t="str">
        <f>""</f>
        <v/>
      </c>
      <c r="I1322" s="1" t="str">
        <f>""</f>
        <v/>
      </c>
      <c r="J1322" s="1" t="str">
        <f>""</f>
        <v/>
      </c>
      <c r="K1322" s="1" t="str">
        <f>""</f>
        <v/>
      </c>
      <c r="L1322" s="1" t="str">
        <f t="shared" si="439"/>
        <v>R</v>
      </c>
      <c r="M1322" s="1" t="str">
        <f>""</f>
        <v/>
      </c>
      <c r="N1322" s="1" t="str">
        <f t="shared" si="440"/>
        <v>Y</v>
      </c>
      <c r="O1322" s="1" t="str">
        <f t="shared" si="436"/>
        <v>Y</v>
      </c>
      <c r="P1322" s="1" t="str">
        <f t="shared" si="443"/>
        <v>Y</v>
      </c>
      <c r="Q1322" s="1" t="str">
        <f t="shared" si="438"/>
        <v>A</v>
      </c>
    </row>
    <row r="1323" spans="1:17" x14ac:dyDescent="0.3">
      <c r="A1323" s="1" t="str">
        <f t="shared" si="445"/>
        <v>HB</v>
      </c>
      <c r="B1323" s="1" t="str">
        <f>"LEK5017H"</f>
        <v>LEK5017H</v>
      </c>
      <c r="C1323" s="1" t="str">
        <f>"경미한 망상적혈구 증가"</f>
        <v>경미한 망상적혈구 증가</v>
      </c>
      <c r="D1323" s="1" t="str">
        <f>"망상적혈구는 빈혈이 있거나 여러 원인에 의해 증가할 수 있으며 정상인에게서도 일시적으로 증가할 수 있습니다. 다른 조혈기 검사가 정상이므로 이것만으로 진단적인 의미는 없습니다."</f>
        <v>망상적혈구는 빈혈이 있거나 여러 원인에 의해 증가할 수 있으며 정상인에게서도 일시적으로 증가할 수 있습니다. 다른 조혈기 검사가 정상이므로 이것만으로 진단적인 의미는 없습니다.</v>
      </c>
      <c r="E1323" s="1" t="str">
        <f>"WOK02"</f>
        <v>WOK02</v>
      </c>
      <c r="F1323" s="1" t="str">
        <f>"PTM01"</f>
        <v>PTM01</v>
      </c>
      <c r="G1323" s="1" t="str">
        <f>"DISD"</f>
        <v>DISD</v>
      </c>
      <c r="H1323" s="1" t="str">
        <f>"REL12"</f>
        <v>REL12</v>
      </c>
      <c r="I1323" s="1" t="str">
        <f>""</f>
        <v/>
      </c>
      <c r="J1323" s="1" t="str">
        <f>"C34C"</f>
        <v>C34C</v>
      </c>
      <c r="K1323" s="1" t="str">
        <f>"C34C"</f>
        <v>C34C</v>
      </c>
      <c r="L1323" s="1" t="str">
        <f t="shared" si="439"/>
        <v>R</v>
      </c>
      <c r="M1323" s="1" t="str">
        <f>"T01"</f>
        <v>T01</v>
      </c>
      <c r="N1323" s="1" t="str">
        <f t="shared" si="440"/>
        <v>Y</v>
      </c>
      <c r="O1323" s="1" t="str">
        <f t="shared" si="436"/>
        <v>Y</v>
      </c>
      <c r="P1323" s="1" t="str">
        <f t="shared" si="443"/>
        <v>Y</v>
      </c>
      <c r="Q1323" s="1" t="str">
        <f t="shared" si="438"/>
        <v>A</v>
      </c>
    </row>
    <row r="1324" spans="1:17" x14ac:dyDescent="0.3">
      <c r="A1324" s="1" t="str">
        <f t="shared" si="445"/>
        <v>HB</v>
      </c>
      <c r="B1324" s="1" t="str">
        <f>"RBCJB02HH"</f>
        <v>RBCJB02HH</v>
      </c>
      <c r="C1324" s="1" t="str">
        <f>"적혈구 증가"</f>
        <v>적혈구 증가</v>
      </c>
      <c r="D1324" s="1" t="str">
        <f>"혈액검사에서 적혈구수가 증가하였습니다. 일시적으로 증가될 수 있습니다. 추후 검진 통하여 수치변화 확인하시기 바랍니다."</f>
        <v>혈액검사에서 적혈구수가 증가하였습니다. 일시적으로 증가될 수 있습니다. 추후 검진 통하여 수치변화 확인하시기 바랍니다.</v>
      </c>
      <c r="E1324" s="1" t="str">
        <f>"WOK01"</f>
        <v>WOK01</v>
      </c>
      <c r="F1324" s="1" t="str">
        <f>""</f>
        <v/>
      </c>
      <c r="G1324" s="1" t="str">
        <f>"DISD"</f>
        <v>DISD</v>
      </c>
      <c r="H1324" s="1" t="str">
        <f>"REL12"</f>
        <v>REL12</v>
      </c>
      <c r="I1324" s="1" t="str">
        <f>""</f>
        <v/>
      </c>
      <c r="J1324" s="1" t="str">
        <f>""</f>
        <v/>
      </c>
      <c r="K1324" s="1" t="str">
        <f>""</f>
        <v/>
      </c>
      <c r="L1324" s="1" t="str">
        <f t="shared" si="439"/>
        <v>R</v>
      </c>
      <c r="M1324" s="1" t="str">
        <f>"T01"</f>
        <v>T01</v>
      </c>
      <c r="N1324" s="1" t="str">
        <f t="shared" si="440"/>
        <v>Y</v>
      </c>
      <c r="O1324" s="1" t="str">
        <f t="shared" si="436"/>
        <v>Y</v>
      </c>
      <c r="P1324" s="1" t="str">
        <f t="shared" si="443"/>
        <v>Y</v>
      </c>
      <c r="Q1324" s="1" t="str">
        <f t="shared" si="438"/>
        <v>A</v>
      </c>
    </row>
    <row r="1325" spans="1:17" x14ac:dyDescent="0.3">
      <c r="A1325" s="1" t="str">
        <f t="shared" si="445"/>
        <v>HB</v>
      </c>
      <c r="B1325" s="1" t="str">
        <f>"TBIJC01B"</f>
        <v>TBIJC01B</v>
      </c>
      <c r="C1325" s="1" t="str">
        <f>"혈중빌리루빈 증가"</f>
        <v>혈중빌리루빈 증가</v>
      </c>
      <c r="D1325" s="1" t="s">
        <v>401</v>
      </c>
      <c r="E1325" s="1" t="str">
        <f>""</f>
        <v/>
      </c>
      <c r="F1325" s="1" t="str">
        <f>""</f>
        <v/>
      </c>
      <c r="G1325" s="1" t="str">
        <f>""</f>
        <v/>
      </c>
      <c r="H1325" s="1" t="str">
        <f>""</f>
        <v/>
      </c>
      <c r="I1325" s="1" t="str">
        <f>""</f>
        <v/>
      </c>
      <c r="J1325" s="1" t="str">
        <f>""</f>
        <v/>
      </c>
      <c r="K1325" s="1" t="str">
        <f>""</f>
        <v/>
      </c>
      <c r="L1325" s="1" t="str">
        <f t="shared" si="439"/>
        <v>R</v>
      </c>
      <c r="M1325" s="1" t="str">
        <f>""</f>
        <v/>
      </c>
      <c r="N1325" s="1" t="str">
        <f t="shared" si="440"/>
        <v>Y</v>
      </c>
      <c r="O1325" s="1" t="str">
        <f t="shared" si="436"/>
        <v>Y</v>
      </c>
      <c r="P1325" s="1" t="str">
        <f t="shared" si="443"/>
        <v>Y</v>
      </c>
      <c r="Q1325" s="1" t="str">
        <f t="shared" si="438"/>
        <v>A</v>
      </c>
    </row>
    <row r="1326" spans="1:17" x14ac:dyDescent="0.3">
      <c r="A1326" s="1" t="str">
        <f t="shared" si="445"/>
        <v>HB</v>
      </c>
      <c r="B1326" s="1" t="str">
        <f>"UROH"</f>
        <v>UROH</v>
      </c>
      <c r="C1326" s="1" t="str">
        <f>"소변검사이상"</f>
        <v>소변검사이상</v>
      </c>
      <c r="D1326" s="1" t="s">
        <v>402</v>
      </c>
      <c r="E1326" s="1" t="str">
        <f>""</f>
        <v/>
      </c>
      <c r="F1326" s="1" t="str">
        <f>""</f>
        <v/>
      </c>
      <c r="G1326" s="1" t="str">
        <f>""</f>
        <v/>
      </c>
      <c r="H1326" s="1" t="str">
        <f>""</f>
        <v/>
      </c>
      <c r="I1326" s="1" t="str">
        <f>""</f>
        <v/>
      </c>
      <c r="J1326" s="1" t="str">
        <f>""</f>
        <v/>
      </c>
      <c r="K1326" s="1" t="str">
        <f>""</f>
        <v/>
      </c>
      <c r="L1326" s="1" t="str">
        <f t="shared" si="439"/>
        <v>R</v>
      </c>
      <c r="M1326" s="1" t="str">
        <f>""</f>
        <v/>
      </c>
      <c r="N1326" s="1" t="str">
        <f t="shared" si="440"/>
        <v>Y</v>
      </c>
      <c r="O1326" s="1" t="str">
        <f t="shared" si="436"/>
        <v>Y</v>
      </c>
      <c r="P1326" s="1" t="str">
        <f t="shared" si="443"/>
        <v>Y</v>
      </c>
      <c r="Q1326" s="1" t="str">
        <f t="shared" si="438"/>
        <v>A</v>
      </c>
    </row>
    <row r="1327" spans="1:17" x14ac:dyDescent="0.3">
      <c r="A1327" s="1" t="str">
        <f t="shared" ref="A1327:A1340" si="446">"HC"</f>
        <v>HC</v>
      </c>
      <c r="B1327" s="1" t="str">
        <f>"B263001H"</f>
        <v>B263001H</v>
      </c>
      <c r="C1327" s="1" t="str">
        <f>"크레아틴 포스포키나제 상승"</f>
        <v>크레아틴 포스포키나제 상승</v>
      </c>
      <c r="D1327" s="1" t="s">
        <v>403</v>
      </c>
      <c r="E1327" s="1" t="str">
        <f>""</f>
        <v/>
      </c>
      <c r="F1327" s="1" t="str">
        <f>""</f>
        <v/>
      </c>
      <c r="G1327" s="1" t="str">
        <f>""</f>
        <v/>
      </c>
      <c r="H1327" s="1" t="str">
        <f>""</f>
        <v/>
      </c>
      <c r="I1327" s="1" t="str">
        <f>""</f>
        <v/>
      </c>
      <c r="J1327" s="1" t="str">
        <f>""</f>
        <v/>
      </c>
      <c r="K1327" s="1" t="str">
        <f>""</f>
        <v/>
      </c>
      <c r="L1327" s="1" t="str">
        <f t="shared" si="439"/>
        <v>R</v>
      </c>
      <c r="M1327" s="1" t="str">
        <f>""</f>
        <v/>
      </c>
      <c r="N1327" s="1" t="str">
        <f t="shared" si="440"/>
        <v>Y</v>
      </c>
      <c r="O1327" s="1" t="str">
        <f t="shared" si="436"/>
        <v>Y</v>
      </c>
      <c r="P1327" s="1" t="str">
        <f t="shared" si="443"/>
        <v>Y</v>
      </c>
      <c r="Q1327" s="1" t="str">
        <f t="shared" si="438"/>
        <v>A</v>
      </c>
    </row>
    <row r="1328" spans="1:17" x14ac:dyDescent="0.3">
      <c r="A1328" s="1" t="str">
        <f t="shared" si="446"/>
        <v>HC</v>
      </c>
      <c r="B1328" s="1" t="str">
        <f>"C422001"</f>
        <v>C422001</v>
      </c>
      <c r="C1328" s="1" t="str">
        <f>"소화기암 표지자 양성"</f>
        <v>소화기암 표지자 양성</v>
      </c>
      <c r="D1328" s="1" t="s">
        <v>404</v>
      </c>
      <c r="E1328" s="1" t="str">
        <f>""</f>
        <v/>
      </c>
      <c r="F1328" s="1" t="str">
        <f>""</f>
        <v/>
      </c>
      <c r="G1328" s="1" t="str">
        <f>""</f>
        <v/>
      </c>
      <c r="H1328" s="1" t="str">
        <f>""</f>
        <v/>
      </c>
      <c r="I1328" s="1" t="str">
        <f>""</f>
        <v/>
      </c>
      <c r="J1328" s="1" t="str">
        <f>""</f>
        <v/>
      </c>
      <c r="K1328" s="1" t="str">
        <f>""</f>
        <v/>
      </c>
      <c r="L1328" s="1" t="str">
        <f t="shared" si="439"/>
        <v>R</v>
      </c>
      <c r="M1328" s="1" t="str">
        <f>""</f>
        <v/>
      </c>
      <c r="N1328" s="1" t="str">
        <f t="shared" si="440"/>
        <v>Y</v>
      </c>
      <c r="O1328" s="1" t="str">
        <f t="shared" si="436"/>
        <v>Y</v>
      </c>
      <c r="P1328" s="1" t="str">
        <f t="shared" si="443"/>
        <v>Y</v>
      </c>
      <c r="Q1328" s="1" t="str">
        <f t="shared" si="438"/>
        <v>A</v>
      </c>
    </row>
    <row r="1329" spans="1:17" x14ac:dyDescent="0.3">
      <c r="A1329" s="1" t="str">
        <f t="shared" si="446"/>
        <v>HC</v>
      </c>
      <c r="B1329" s="1" t="str">
        <f>"C424001"</f>
        <v>C424001</v>
      </c>
      <c r="C1329" s="1" t="str">
        <f>"난소암 표지자 양성"</f>
        <v>난소암 표지자 양성</v>
      </c>
      <c r="D1329" s="1" t="s">
        <v>405</v>
      </c>
      <c r="E1329" s="1" t="str">
        <f>""</f>
        <v/>
      </c>
      <c r="F1329" s="1" t="str">
        <f>""</f>
        <v/>
      </c>
      <c r="G1329" s="1" t="str">
        <f>""</f>
        <v/>
      </c>
      <c r="H1329" s="1" t="str">
        <f>""</f>
        <v/>
      </c>
      <c r="I1329" s="1" t="str">
        <f>""</f>
        <v/>
      </c>
      <c r="J1329" s="1" t="str">
        <f>""</f>
        <v/>
      </c>
      <c r="K1329" s="1" t="str">
        <f>""</f>
        <v/>
      </c>
      <c r="L1329" s="1" t="str">
        <f t="shared" si="439"/>
        <v>R</v>
      </c>
      <c r="M1329" s="1" t="str">
        <f>""</f>
        <v/>
      </c>
      <c r="N1329" s="1" t="str">
        <f t="shared" si="440"/>
        <v>Y</v>
      </c>
      <c r="O1329" s="1" t="str">
        <f t="shared" si="436"/>
        <v>Y</v>
      </c>
      <c r="P1329" s="1" t="str">
        <f t="shared" si="443"/>
        <v>Y</v>
      </c>
      <c r="Q1329" s="1" t="str">
        <f t="shared" si="438"/>
        <v>A</v>
      </c>
    </row>
    <row r="1330" spans="1:17" x14ac:dyDescent="0.3">
      <c r="A1330" s="1" t="str">
        <f t="shared" si="446"/>
        <v>HC</v>
      </c>
      <c r="B1330" s="1" t="str">
        <f>"C490301"</f>
        <v>C490301</v>
      </c>
      <c r="C1330" s="1" t="str">
        <f>"류마티스인자 양성"</f>
        <v>류마티스인자 양성</v>
      </c>
      <c r="D1330" s="1" t="str">
        <f>"류마티스 인자가 양성입니다. 류마티스 인자는 류마티스 관절염에서 양성으로 나올 수 있으나 일반적인 염증 등의 경우에서도 양성으로 반응할 수 있습니다. 관절염 증상이 있다면 류마티스내과 진료를 받아보시기 바랍니다."</f>
        <v>류마티스 인자가 양성입니다. 류마티스 인자는 류마티스 관절염에서 양성으로 나올 수 있으나 일반적인 염증 등의 경우에서도 양성으로 반응할 수 있습니다. 관절염 증상이 있다면 류마티스내과 진료를 받아보시기 바랍니다.</v>
      </c>
      <c r="E1330" s="1" t="str">
        <f>""</f>
        <v/>
      </c>
      <c r="F1330" s="1" t="str">
        <f>""</f>
        <v/>
      </c>
      <c r="G1330" s="1" t="str">
        <f>""</f>
        <v/>
      </c>
      <c r="H1330" s="1" t="str">
        <f>""</f>
        <v/>
      </c>
      <c r="I1330" s="1" t="str">
        <f>""</f>
        <v/>
      </c>
      <c r="J1330" s="1" t="str">
        <f>""</f>
        <v/>
      </c>
      <c r="K1330" s="1" t="str">
        <f>""</f>
        <v/>
      </c>
      <c r="L1330" s="1" t="str">
        <f t="shared" si="439"/>
        <v>R</v>
      </c>
      <c r="M1330" s="1" t="str">
        <f>""</f>
        <v/>
      </c>
      <c r="N1330" s="1" t="str">
        <f t="shared" si="440"/>
        <v>Y</v>
      </c>
      <c r="O1330" s="1" t="str">
        <f t="shared" si="436"/>
        <v>Y</v>
      </c>
      <c r="P1330" s="1" t="str">
        <f t="shared" si="443"/>
        <v>Y</v>
      </c>
      <c r="Q1330" s="1" t="str">
        <f t="shared" si="438"/>
        <v>A</v>
      </c>
    </row>
    <row r="1331" spans="1:17" x14ac:dyDescent="0.3">
      <c r="A1331" s="1" t="str">
        <f t="shared" si="446"/>
        <v>HC</v>
      </c>
      <c r="B1331" s="1" t="str">
        <f>"L104001HH"</f>
        <v>L104001HH</v>
      </c>
      <c r="C1331" s="1" t="str">
        <f>"적혈구 감소"</f>
        <v>적혈구 감소</v>
      </c>
      <c r="D1331" s="1" t="str">
        <f>"혈액검사결과 적혈구수가 감소하였습니다. 원인규명을 위해 상세한 상담 및 진료가 필요합니다. 혈액종양내과 진료를 받으시기 바랍니다."</f>
        <v>혈액검사결과 적혈구수가 감소하였습니다. 원인규명을 위해 상세한 상담 및 진료가 필요합니다. 혈액종양내과 진료를 받으시기 바랍니다.</v>
      </c>
      <c r="E1331" s="1" t="str">
        <f>""</f>
        <v/>
      </c>
      <c r="F1331" s="1" t="str">
        <f>""</f>
        <v/>
      </c>
      <c r="G1331" s="1" t="str">
        <f>""</f>
        <v/>
      </c>
      <c r="H1331" s="1" t="str">
        <f>""</f>
        <v/>
      </c>
      <c r="I1331" s="1" t="str">
        <f>""</f>
        <v/>
      </c>
      <c r="J1331" s="1" t="str">
        <f>""</f>
        <v/>
      </c>
      <c r="K1331" s="1" t="str">
        <f>""</f>
        <v/>
      </c>
      <c r="L1331" s="1" t="str">
        <f t="shared" si="439"/>
        <v>R</v>
      </c>
      <c r="M1331" s="1" t="str">
        <f>""</f>
        <v/>
      </c>
      <c r="N1331" s="1" t="str">
        <f t="shared" si="440"/>
        <v>Y</v>
      </c>
      <c r="O1331" s="1" t="str">
        <f t="shared" si="436"/>
        <v>Y</v>
      </c>
      <c r="P1331" s="1" t="str">
        <f t="shared" si="443"/>
        <v>Y</v>
      </c>
      <c r="Q1331" s="1" t="str">
        <f t="shared" si="438"/>
        <v>A</v>
      </c>
    </row>
    <row r="1332" spans="1:17" x14ac:dyDescent="0.3">
      <c r="A1332" s="1" t="str">
        <f t="shared" si="446"/>
        <v>HC</v>
      </c>
      <c r="B1332" s="1" t="str">
        <f>"L241102H"</f>
        <v>L241102H</v>
      </c>
      <c r="C1332" s="1" t="str">
        <f>"고지혈증주의 (콜레스테롤 상승)"</f>
        <v>고지혈증주의 (콜레스테롤 상승)</v>
      </c>
      <c r="D1332" s="1" t="str">
        <f>"혈중 콜레스테롤 농도가 높아 주의를 요합니다. 콜레스테롤 농도가 올라가면 심혈관계질환 발생의 위험이 높습니다. 식이요법과 운동을 하고 추적관리를 하십시요."</f>
        <v>혈중 콜레스테롤 농도가 높아 주의를 요합니다. 콜레스테롤 농도가 올라가면 심혈관계질환 발생의 위험이 높습니다. 식이요법과 운동을 하고 추적관리를 하십시요.</v>
      </c>
      <c r="E1332" s="1" t="str">
        <f>""</f>
        <v/>
      </c>
      <c r="F1332" s="1" t="str">
        <f>""</f>
        <v/>
      </c>
      <c r="G1332" s="1" t="str">
        <f>""</f>
        <v/>
      </c>
      <c r="H1332" s="1" t="str">
        <f>""</f>
        <v/>
      </c>
      <c r="I1332" s="1" t="str">
        <f>""</f>
        <v/>
      </c>
      <c r="J1332" s="1" t="str">
        <f>""</f>
        <v/>
      </c>
      <c r="K1332" s="1" t="str">
        <f>""</f>
        <v/>
      </c>
      <c r="L1332" s="1" t="str">
        <f t="shared" si="439"/>
        <v>R</v>
      </c>
      <c r="M1332" s="1" t="str">
        <f>""</f>
        <v/>
      </c>
      <c r="N1332" s="1" t="str">
        <f t="shared" si="440"/>
        <v>Y</v>
      </c>
      <c r="O1332" s="1" t="str">
        <f t="shared" si="436"/>
        <v>Y</v>
      </c>
      <c r="P1332" s="1" t="str">
        <f t="shared" si="443"/>
        <v>Y</v>
      </c>
      <c r="Q1332" s="1" t="str">
        <f t="shared" si="438"/>
        <v>A</v>
      </c>
    </row>
    <row r="1333" spans="1:17" x14ac:dyDescent="0.3">
      <c r="A1333" s="1" t="str">
        <f t="shared" si="446"/>
        <v>HC</v>
      </c>
      <c r="B1333" s="1" t="str">
        <f>"L244301H"</f>
        <v>L244301H</v>
      </c>
      <c r="C1333" s="1" t="str">
        <f>"고지혈증주의 (중성지방 상승)"</f>
        <v>고지혈증주의 (중성지방 상승)</v>
      </c>
      <c r="D1333" s="1" t="str">
        <f>"혈중 중성지방이 증가되어 있습니다. 혈중 중성지방은 대부분 섭취한 음식과 관련이 있습니다. 육류 등 지방 뿐만 아니라 쌀밥이나 밀가루 음식과 같은 탄수화물도 과도섭취하면 중성지방치가 높아집니다. 식이조절과 운동을 권합니다."</f>
        <v>혈중 중성지방이 증가되어 있습니다. 혈중 중성지방은 대부분 섭취한 음식과 관련이 있습니다. 육류 등 지방 뿐만 아니라 쌀밥이나 밀가루 음식과 같은 탄수화물도 과도섭취하면 중성지방치가 높아집니다. 식이조절과 운동을 권합니다.</v>
      </c>
      <c r="E1333" s="1" t="str">
        <f>""</f>
        <v/>
      </c>
      <c r="F1333" s="1" t="str">
        <f>""</f>
        <v/>
      </c>
      <c r="G1333" s="1" t="str">
        <f>""</f>
        <v/>
      </c>
      <c r="H1333" s="1" t="str">
        <f>""</f>
        <v/>
      </c>
      <c r="I1333" s="1" t="str">
        <f>""</f>
        <v/>
      </c>
      <c r="J1333" s="1" t="str">
        <f>""</f>
        <v/>
      </c>
      <c r="K1333" s="1" t="str">
        <f>""</f>
        <v/>
      </c>
      <c r="L1333" s="1" t="str">
        <f t="shared" si="439"/>
        <v>R</v>
      </c>
      <c r="M1333" s="1" t="str">
        <f>""</f>
        <v/>
      </c>
      <c r="N1333" s="1" t="str">
        <f t="shared" si="440"/>
        <v>Y</v>
      </c>
      <c r="O1333" s="1" t="str">
        <f t="shared" si="436"/>
        <v>Y</v>
      </c>
      <c r="P1333" s="1" t="str">
        <f t="shared" si="443"/>
        <v>Y</v>
      </c>
      <c r="Q1333" s="1" t="str">
        <f t="shared" si="438"/>
        <v>A</v>
      </c>
    </row>
    <row r="1334" spans="1:17" x14ac:dyDescent="0.3">
      <c r="A1334" s="1" t="str">
        <f t="shared" si="446"/>
        <v>HC</v>
      </c>
      <c r="B1334" s="1" t="str">
        <f>"L260201H"</f>
        <v>L260201H</v>
      </c>
      <c r="C1334" s="1" t="str">
        <f>"알카리포스파타제 상승"</f>
        <v>알카리포스파타제 상승</v>
      </c>
      <c r="D1334" s="1" t="s">
        <v>406</v>
      </c>
      <c r="E1334" s="1" t="str">
        <f>""</f>
        <v/>
      </c>
      <c r="F1334" s="1" t="str">
        <f>""</f>
        <v/>
      </c>
      <c r="G1334" s="1" t="str">
        <f>""</f>
        <v/>
      </c>
      <c r="H1334" s="1" t="str">
        <f>""</f>
        <v/>
      </c>
      <c r="I1334" s="1" t="str">
        <f>""</f>
        <v/>
      </c>
      <c r="J1334" s="1" t="str">
        <f>""</f>
        <v/>
      </c>
      <c r="K1334" s="1" t="str">
        <f>""</f>
        <v/>
      </c>
      <c r="L1334" s="1" t="str">
        <f t="shared" si="439"/>
        <v>R</v>
      </c>
      <c r="M1334" s="1" t="str">
        <f>""</f>
        <v/>
      </c>
      <c r="N1334" s="1" t="str">
        <f t="shared" si="440"/>
        <v>Y</v>
      </c>
      <c r="O1334" s="1" t="str">
        <f t="shared" si="436"/>
        <v>Y</v>
      </c>
      <c r="P1334" s="1" t="str">
        <f t="shared" si="443"/>
        <v>Y</v>
      </c>
      <c r="Q1334" s="1" t="str">
        <f t="shared" si="438"/>
        <v>A</v>
      </c>
    </row>
    <row r="1335" spans="1:17" x14ac:dyDescent="0.3">
      <c r="A1335" s="1" t="str">
        <f t="shared" si="446"/>
        <v>HC</v>
      </c>
      <c r="B1335" s="1" t="str">
        <f>"L371104"</f>
        <v>L371104</v>
      </c>
      <c r="C1335" s="1" t="str">
        <f>"당뇨병"</f>
        <v>당뇨병</v>
      </c>
      <c r="D1335" s="1" t="str">
        <f>"이번에 측정한 혈당검사 결과가 엄격한 공복 상태에서 채혈된 것이라면 당뇨병에 해당합니다. 약물치료가 필요하니 내과 진료를 받으시기 바랍니다."</f>
        <v>이번에 측정한 혈당검사 결과가 엄격한 공복 상태에서 채혈된 것이라면 당뇨병에 해당합니다. 약물치료가 필요하니 내과 진료를 받으시기 바랍니다.</v>
      </c>
      <c r="E1335" s="1" t="str">
        <f>""</f>
        <v/>
      </c>
      <c r="F1335" s="1" t="str">
        <f>""</f>
        <v/>
      </c>
      <c r="G1335" s="1" t="str">
        <f>""</f>
        <v/>
      </c>
      <c r="H1335" s="1" t="str">
        <f>""</f>
        <v/>
      </c>
      <c r="I1335" s="1" t="str">
        <f>""</f>
        <v/>
      </c>
      <c r="J1335" s="1" t="str">
        <f>""</f>
        <v/>
      </c>
      <c r="K1335" s="1" t="str">
        <f>""</f>
        <v/>
      </c>
      <c r="L1335" s="1" t="str">
        <f t="shared" si="439"/>
        <v>R</v>
      </c>
      <c r="M1335" s="1" t="str">
        <f>""</f>
        <v/>
      </c>
      <c r="N1335" s="1" t="str">
        <f t="shared" si="440"/>
        <v>Y</v>
      </c>
      <c r="O1335" s="1" t="str">
        <f t="shared" si="436"/>
        <v>Y</v>
      </c>
      <c r="P1335" s="1" t="str">
        <f t="shared" si="443"/>
        <v>Y</v>
      </c>
      <c r="Q1335" s="1" t="str">
        <f t="shared" si="438"/>
        <v>A</v>
      </c>
    </row>
    <row r="1336" spans="1:17" x14ac:dyDescent="0.3">
      <c r="A1336" s="1" t="str">
        <f t="shared" si="446"/>
        <v>HC</v>
      </c>
      <c r="B1336" s="1" t="str">
        <f>"LIPIT18"</f>
        <v>LIPIT18</v>
      </c>
      <c r="C1336" s="1" t="str">
        <f>"고지혈증주의"</f>
        <v>고지혈증주의</v>
      </c>
      <c r="D1336" s="1" t="s">
        <v>407</v>
      </c>
      <c r="E1336" s="1" t="str">
        <f>""</f>
        <v/>
      </c>
      <c r="F1336" s="1" t="str">
        <f>""</f>
        <v/>
      </c>
      <c r="G1336" s="1" t="str">
        <f>""</f>
        <v/>
      </c>
      <c r="H1336" s="1" t="str">
        <f>""</f>
        <v/>
      </c>
      <c r="I1336" s="1" t="str">
        <f>""</f>
        <v/>
      </c>
      <c r="J1336" s="1" t="str">
        <f>""</f>
        <v/>
      </c>
      <c r="K1336" s="1" t="str">
        <f>""</f>
        <v/>
      </c>
      <c r="L1336" s="1" t="str">
        <f t="shared" si="439"/>
        <v>R</v>
      </c>
      <c r="M1336" s="1" t="str">
        <f>""</f>
        <v/>
      </c>
      <c r="N1336" s="1" t="str">
        <f t="shared" si="440"/>
        <v>Y</v>
      </c>
      <c r="O1336" s="1" t="str">
        <f t="shared" si="436"/>
        <v>Y</v>
      </c>
      <c r="P1336" s="1" t="str">
        <f t="shared" si="443"/>
        <v>Y</v>
      </c>
      <c r="Q1336" s="1" t="str">
        <f t="shared" si="438"/>
        <v>A</v>
      </c>
    </row>
    <row r="1337" spans="1:17" x14ac:dyDescent="0.3">
      <c r="A1337" s="1" t="str">
        <f t="shared" si="446"/>
        <v>HC</v>
      </c>
      <c r="B1337" s="1" t="str">
        <f>"LIPLT0H"</f>
        <v>LIPLT0H</v>
      </c>
      <c r="C1337" s="1" t="str">
        <f>"콜레스테롤 이상 (HDL-콜레스테롤 저하)"</f>
        <v>콜레스테롤 이상 (HDL-콜레스테롤 저하)</v>
      </c>
      <c r="D1337" s="1" t="s">
        <v>408</v>
      </c>
      <c r="E1337" s="1" t="str">
        <f>""</f>
        <v/>
      </c>
      <c r="F1337" s="1" t="str">
        <f>""</f>
        <v/>
      </c>
      <c r="G1337" s="1" t="str">
        <f>""</f>
        <v/>
      </c>
      <c r="H1337" s="1" t="str">
        <f>""</f>
        <v/>
      </c>
      <c r="I1337" s="1" t="str">
        <f>""</f>
        <v/>
      </c>
      <c r="J1337" s="1" t="str">
        <f>"C04A"</f>
        <v>C04A</v>
      </c>
      <c r="K1337" s="1" t="str">
        <f>"C04A"</f>
        <v>C04A</v>
      </c>
      <c r="L1337" s="1" t="str">
        <f t="shared" si="439"/>
        <v>R</v>
      </c>
      <c r="M1337" s="1" t="str">
        <f>""</f>
        <v/>
      </c>
      <c r="N1337" s="1" t="str">
        <f t="shared" si="440"/>
        <v>Y</v>
      </c>
      <c r="O1337" s="1" t="str">
        <f t="shared" si="436"/>
        <v>Y</v>
      </c>
      <c r="P1337" s="1" t="str">
        <f t="shared" si="443"/>
        <v>Y</v>
      </c>
      <c r="Q1337" s="1" t="str">
        <f t="shared" si="438"/>
        <v>A</v>
      </c>
    </row>
    <row r="1338" spans="1:17" x14ac:dyDescent="0.3">
      <c r="A1338" s="1" t="str">
        <f t="shared" si="446"/>
        <v>HC</v>
      </c>
      <c r="B1338" s="1" t="str">
        <f>"M0003"</f>
        <v>M0003</v>
      </c>
      <c r="C1338" s="1" t="str">
        <f>"성선기능저하증 주의"</f>
        <v>성선기능저하증 주의</v>
      </c>
      <c r="D1338" s="1" t="str">
        <f>"혈중 테스토스테론(남성호르몬) 수치가 낮아 성선기능저하증이 의심됩니다. 성기능 관련 증상이 있을 시 비뇨기과 의사와 상담하세요."</f>
        <v>혈중 테스토스테론(남성호르몬) 수치가 낮아 성선기능저하증이 의심됩니다. 성기능 관련 증상이 있을 시 비뇨기과 의사와 상담하세요.</v>
      </c>
      <c r="E1338" s="1" t="str">
        <f>"WOK01"</f>
        <v>WOK01</v>
      </c>
      <c r="F1338" s="1" t="str">
        <f>"PTM01"</f>
        <v>PTM01</v>
      </c>
      <c r="G1338" s="1" t="str">
        <f>"DISN"</f>
        <v>DISN</v>
      </c>
      <c r="H1338" s="1" t="str">
        <f>"REL09"</f>
        <v>REL09</v>
      </c>
      <c r="I1338" s="1" t="str">
        <f>""</f>
        <v/>
      </c>
      <c r="J1338" s="1" t="str">
        <f>""</f>
        <v/>
      </c>
      <c r="K1338" s="1" t="str">
        <f>""</f>
        <v/>
      </c>
      <c r="L1338" s="1" t="str">
        <f t="shared" si="439"/>
        <v>R</v>
      </c>
      <c r="M1338" s="1" t="str">
        <f>"T07"</f>
        <v>T07</v>
      </c>
      <c r="N1338" s="1" t="str">
        <f t="shared" si="440"/>
        <v>Y</v>
      </c>
      <c r="O1338" s="1" t="str">
        <f t="shared" ref="O1338:O1401" si="447">"Y"</f>
        <v>Y</v>
      </c>
      <c r="P1338" s="1" t="str">
        <f t="shared" si="443"/>
        <v>Y</v>
      </c>
      <c r="Q1338" s="1" t="str">
        <f t="shared" si="438"/>
        <v>A</v>
      </c>
    </row>
    <row r="1339" spans="1:17" x14ac:dyDescent="0.3">
      <c r="A1339" s="1" t="str">
        <f t="shared" si="446"/>
        <v>HC</v>
      </c>
      <c r="B1339" s="1" t="str">
        <f>"RBCJB02H"</f>
        <v>RBCJB02H</v>
      </c>
      <c r="C1339" s="1" t="str">
        <f>"적혈구 증가"</f>
        <v>적혈구 증가</v>
      </c>
      <c r="D1339" s="1" t="str">
        <f>"혈액검사상 적혈구수가 증가되어 있습니다. 일시적인 소견일 수도 있으나 원인규명을 위해 상세한 상담 및 진료가 필요합니다. 혈액종양내과 진료 권합니다."</f>
        <v>혈액검사상 적혈구수가 증가되어 있습니다. 일시적인 소견일 수도 있으나 원인규명을 위해 상세한 상담 및 진료가 필요합니다. 혈액종양내과 진료 권합니다.</v>
      </c>
      <c r="E1339" s="1" t="str">
        <f>"WOK01"</f>
        <v>WOK01</v>
      </c>
      <c r="F1339" s="1" t="str">
        <f>""</f>
        <v/>
      </c>
      <c r="G1339" s="1" t="str">
        <f>"DISD"</f>
        <v>DISD</v>
      </c>
      <c r="H1339" s="1" t="str">
        <f>"REL12"</f>
        <v>REL12</v>
      </c>
      <c r="I1339" s="1" t="str">
        <f>""</f>
        <v/>
      </c>
      <c r="J1339" s="1" t="str">
        <f>""</f>
        <v/>
      </c>
      <c r="K1339" s="1" t="str">
        <f>""</f>
        <v/>
      </c>
      <c r="L1339" s="1" t="str">
        <f t="shared" si="439"/>
        <v>R</v>
      </c>
      <c r="M1339" s="1" t="str">
        <f>"T01"</f>
        <v>T01</v>
      </c>
      <c r="N1339" s="1" t="str">
        <f t="shared" si="440"/>
        <v>Y</v>
      </c>
      <c r="O1339" s="1" t="str">
        <f t="shared" si="447"/>
        <v>Y</v>
      </c>
      <c r="P1339" s="1" t="str">
        <f t="shared" si="443"/>
        <v>Y</v>
      </c>
      <c r="Q1339" s="1" t="str">
        <f t="shared" si="438"/>
        <v>A</v>
      </c>
    </row>
    <row r="1340" spans="1:17" x14ac:dyDescent="0.3">
      <c r="A1340" s="1" t="str">
        <f t="shared" si="446"/>
        <v>HC</v>
      </c>
      <c r="B1340" s="1" t="str">
        <f>"TBIJD97"</f>
        <v>TBIJD97</v>
      </c>
      <c r="C1340" s="1" t="str">
        <f>"혈중빌리루빈 증가"</f>
        <v>혈중빌리루빈 증가</v>
      </c>
      <c r="D1340" s="1" t="s">
        <v>409</v>
      </c>
      <c r="E1340" s="1" t="str">
        <f>""</f>
        <v/>
      </c>
      <c r="F1340" s="1" t="str">
        <f>""</f>
        <v/>
      </c>
      <c r="G1340" s="1" t="str">
        <f>""</f>
        <v/>
      </c>
      <c r="H1340" s="1" t="str">
        <f>""</f>
        <v/>
      </c>
      <c r="I1340" s="1" t="str">
        <f>""</f>
        <v/>
      </c>
      <c r="J1340" s="1" t="str">
        <f>""</f>
        <v/>
      </c>
      <c r="K1340" s="1" t="str">
        <f>""</f>
        <v/>
      </c>
      <c r="L1340" s="1" t="str">
        <f t="shared" si="439"/>
        <v>R</v>
      </c>
      <c r="M1340" s="1" t="str">
        <f>""</f>
        <v/>
      </c>
      <c r="N1340" s="1" t="str">
        <f t="shared" si="440"/>
        <v>Y</v>
      </c>
      <c r="O1340" s="1" t="str">
        <f t="shared" si="447"/>
        <v>Y</v>
      </c>
      <c r="P1340" s="1" t="str">
        <f t="shared" si="443"/>
        <v>Y</v>
      </c>
      <c r="Q1340" s="1" t="str">
        <f t="shared" ref="Q1340:Q1403" si="448">"A"</f>
        <v>A</v>
      </c>
    </row>
    <row r="1341" spans="1:17" x14ac:dyDescent="0.3">
      <c r="A1341" s="1" t="str">
        <f t="shared" ref="A1341:A1347" si="449">"HD"</f>
        <v>HD</v>
      </c>
      <c r="B1341" s="1" t="str">
        <f>"FER302H"</f>
        <v>FER302H</v>
      </c>
      <c r="C1341" s="1" t="str">
        <f>"철결핍성빈혈의심"</f>
        <v>철결핍성빈혈의심</v>
      </c>
      <c r="D1341" s="1" t="s">
        <v>410</v>
      </c>
      <c r="E1341" s="1" t="str">
        <f>"WOK02"</f>
        <v>WOK02</v>
      </c>
      <c r="F1341" s="1" t="str">
        <f>""</f>
        <v/>
      </c>
      <c r="G1341" s="1" t="str">
        <f>""</f>
        <v/>
      </c>
      <c r="H1341" s="1" t="str">
        <f>""</f>
        <v/>
      </c>
      <c r="I1341" s="1" t="str">
        <f>""</f>
        <v/>
      </c>
      <c r="J1341" s="1" t="str">
        <f>""</f>
        <v/>
      </c>
      <c r="K1341" s="1" t="str">
        <f>""</f>
        <v/>
      </c>
      <c r="L1341" s="1" t="str">
        <f t="shared" si="439"/>
        <v>R</v>
      </c>
      <c r="M1341" s="1" t="str">
        <f>""</f>
        <v/>
      </c>
      <c r="N1341" s="1" t="str">
        <f t="shared" si="440"/>
        <v>Y</v>
      </c>
      <c r="O1341" s="1" t="str">
        <f t="shared" si="447"/>
        <v>Y</v>
      </c>
      <c r="P1341" s="1" t="str">
        <f t="shared" si="443"/>
        <v>Y</v>
      </c>
      <c r="Q1341" s="1" t="str">
        <f t="shared" si="448"/>
        <v>A</v>
      </c>
    </row>
    <row r="1342" spans="1:17" x14ac:dyDescent="0.3">
      <c r="A1342" s="1" t="str">
        <f t="shared" si="449"/>
        <v>HD</v>
      </c>
      <c r="B1342" s="1" t="str">
        <f>"J0212H"</f>
        <v>J0212H</v>
      </c>
      <c r="C1342" s="1" t="str">
        <f>"고지혈증 유질환자(치료중)"</f>
        <v>고지혈증 유질환자(치료중)</v>
      </c>
      <c r="D1342" s="1" t="s">
        <v>411</v>
      </c>
      <c r="E1342" s="1" t="str">
        <f>"WOK02"</f>
        <v>WOK02</v>
      </c>
      <c r="F1342" s="1" t="str">
        <f>"PTM04"</f>
        <v>PTM04</v>
      </c>
      <c r="G1342" s="1" t="str">
        <f>"DISE"</f>
        <v>DISE</v>
      </c>
      <c r="H1342" s="1" t="str">
        <f>"REL04"</f>
        <v>REL04</v>
      </c>
      <c r="I1342" s="1" t="str">
        <f>""</f>
        <v/>
      </c>
      <c r="J1342" s="1" t="str">
        <f>"C04D"</f>
        <v>C04D</v>
      </c>
      <c r="K1342" s="1" t="str">
        <f>"C04D"</f>
        <v>C04D</v>
      </c>
      <c r="L1342" s="1" t="str">
        <f t="shared" si="439"/>
        <v>R</v>
      </c>
      <c r="M1342" s="1" t="str">
        <f>"T03"</f>
        <v>T03</v>
      </c>
      <c r="N1342" s="1" t="str">
        <f t="shared" si="440"/>
        <v>Y</v>
      </c>
      <c r="O1342" s="1" t="str">
        <f t="shared" si="447"/>
        <v>Y</v>
      </c>
      <c r="P1342" s="1" t="str">
        <f t="shared" si="443"/>
        <v>Y</v>
      </c>
      <c r="Q1342" s="1" t="str">
        <f t="shared" si="448"/>
        <v>A</v>
      </c>
    </row>
    <row r="1343" spans="1:17" x14ac:dyDescent="0.3">
      <c r="A1343" s="1" t="str">
        <f t="shared" si="449"/>
        <v>HD</v>
      </c>
      <c r="B1343" s="1" t="str">
        <f>"J0218H"</f>
        <v>J0218H</v>
      </c>
      <c r="C1343" s="1" t="str">
        <f>"당뇨병 유질환자"</f>
        <v>당뇨병 유질환자</v>
      </c>
      <c r="D1343" s="1" t="str">
        <f>"지속적인 혈당관리 및 당뇨치료를 받으세요."</f>
        <v>지속적인 혈당관리 및 당뇨치료를 받으세요.</v>
      </c>
      <c r="E1343" s="1" t="str">
        <f>"WOK02"</f>
        <v>WOK02</v>
      </c>
      <c r="F1343" s="1" t="str">
        <f>"PTM04"</f>
        <v>PTM04</v>
      </c>
      <c r="G1343" s="1" t="str">
        <f>"DISE"</f>
        <v>DISE</v>
      </c>
      <c r="H1343" s="1" t="str">
        <f>"REL07"</f>
        <v>REL07</v>
      </c>
      <c r="I1343" s="1" t="str">
        <f>""</f>
        <v/>
      </c>
      <c r="J1343" s="1" t="str">
        <f>"C06D"</f>
        <v>C06D</v>
      </c>
      <c r="K1343" s="1" t="str">
        <f>"C06D"</f>
        <v>C06D</v>
      </c>
      <c r="L1343" s="1" t="str">
        <f t="shared" si="439"/>
        <v>R</v>
      </c>
      <c r="M1343" s="1" t="str">
        <f>"T03"</f>
        <v>T03</v>
      </c>
      <c r="N1343" s="1" t="str">
        <f t="shared" si="440"/>
        <v>Y</v>
      </c>
      <c r="O1343" s="1" t="str">
        <f t="shared" si="447"/>
        <v>Y</v>
      </c>
      <c r="P1343" s="1" t="str">
        <f t="shared" si="443"/>
        <v>Y</v>
      </c>
      <c r="Q1343" s="1" t="str">
        <f t="shared" si="448"/>
        <v>A</v>
      </c>
    </row>
    <row r="1344" spans="1:17" x14ac:dyDescent="0.3">
      <c r="A1344" s="1" t="str">
        <f t="shared" si="449"/>
        <v>HD</v>
      </c>
      <c r="B1344" s="1" t="str">
        <f>"L241103H"</f>
        <v>L241103H</v>
      </c>
      <c r="C1344" s="1" t="str">
        <f>"고지혈증주의 (콜레스테롤 상승)"</f>
        <v>고지혈증주의 (콜레스테롤 상승)</v>
      </c>
      <c r="D1344" s="1" t="str">
        <f>"혈중 콜레스테롤이 정상범위보다 높습니다. 생활습관 개선과 치료가 필요합니다. 내과 진료를 받으시기 바랍니다."</f>
        <v>혈중 콜레스테롤이 정상범위보다 높습니다. 생활습관 개선과 치료가 필요합니다. 내과 진료를 받으시기 바랍니다.</v>
      </c>
      <c r="E1344" s="1" t="str">
        <f>""</f>
        <v/>
      </c>
      <c r="F1344" s="1" t="str">
        <f>""</f>
        <v/>
      </c>
      <c r="G1344" s="1" t="str">
        <f>""</f>
        <v/>
      </c>
      <c r="H1344" s="1" t="str">
        <f>""</f>
        <v/>
      </c>
      <c r="I1344" s="1" t="str">
        <f>""</f>
        <v/>
      </c>
      <c r="J1344" s="1" t="str">
        <f>""</f>
        <v/>
      </c>
      <c r="K1344" s="1" t="str">
        <f>""</f>
        <v/>
      </c>
      <c r="L1344" s="1" t="str">
        <f t="shared" si="439"/>
        <v>R</v>
      </c>
      <c r="M1344" s="1" t="str">
        <f>""</f>
        <v/>
      </c>
      <c r="N1344" s="1" t="str">
        <f t="shared" si="440"/>
        <v>Y</v>
      </c>
      <c r="O1344" s="1" t="str">
        <f t="shared" si="447"/>
        <v>Y</v>
      </c>
      <c r="P1344" s="1" t="str">
        <f t="shared" si="443"/>
        <v>Y</v>
      </c>
      <c r="Q1344" s="1" t="str">
        <f t="shared" si="448"/>
        <v>A</v>
      </c>
    </row>
    <row r="1345" spans="1:17" x14ac:dyDescent="0.3">
      <c r="A1345" s="1" t="str">
        <f t="shared" si="449"/>
        <v>HD</v>
      </c>
      <c r="B1345" s="1" t="str">
        <f>"L371104H"</f>
        <v>L371104H</v>
      </c>
      <c r="C1345" s="1" t="str">
        <f>"당뇨병의심"</f>
        <v>당뇨병의심</v>
      </c>
      <c r="D1345" s="1" t="s">
        <v>412</v>
      </c>
      <c r="E1345" s="1" t="str">
        <f>""</f>
        <v/>
      </c>
      <c r="F1345" s="1" t="str">
        <f>""</f>
        <v/>
      </c>
      <c r="G1345" s="1" t="str">
        <f>""</f>
        <v/>
      </c>
      <c r="H1345" s="1" t="str">
        <f>""</f>
        <v/>
      </c>
      <c r="I1345" s="1" t="str">
        <f>""</f>
        <v/>
      </c>
      <c r="J1345" s="1" t="str">
        <f>""</f>
        <v/>
      </c>
      <c r="K1345" s="1" t="str">
        <f>""</f>
        <v/>
      </c>
      <c r="L1345" s="1" t="str">
        <f t="shared" si="439"/>
        <v>R</v>
      </c>
      <c r="M1345" s="1" t="str">
        <f>""</f>
        <v/>
      </c>
      <c r="N1345" s="1" t="str">
        <f t="shared" si="440"/>
        <v>Y</v>
      </c>
      <c r="O1345" s="1" t="str">
        <f t="shared" si="447"/>
        <v>Y</v>
      </c>
      <c r="P1345" s="1" t="str">
        <f t="shared" si="443"/>
        <v>Y</v>
      </c>
      <c r="Q1345" s="1" t="str">
        <f t="shared" si="448"/>
        <v>A</v>
      </c>
    </row>
    <row r="1346" spans="1:17" x14ac:dyDescent="0.3">
      <c r="A1346" s="1" t="str">
        <f t="shared" si="449"/>
        <v>HD</v>
      </c>
      <c r="B1346" s="1" t="str">
        <f>"L371104HH"</f>
        <v>L371104HH</v>
      </c>
      <c r="C1346" s="1" t="str">
        <f>"당뇨병의심"</f>
        <v>당뇨병의심</v>
      </c>
      <c r="D1346" s="1" t="str">
        <f>"공복혈당 및 2-3개월간의 혈당수치를 반영하는 당화혈색소 수치 상승하여 당뇨병이 의심됩니다. 내분비내과 진료를 받으시기 바랍니다."</f>
        <v>공복혈당 및 2-3개월간의 혈당수치를 반영하는 당화혈색소 수치 상승하여 당뇨병이 의심됩니다. 내분비내과 진료를 받으시기 바랍니다.</v>
      </c>
      <c r="E1346" s="1" t="str">
        <f>""</f>
        <v/>
      </c>
      <c r="F1346" s="1" t="str">
        <f>""</f>
        <v/>
      </c>
      <c r="G1346" s="1" t="str">
        <f>""</f>
        <v/>
      </c>
      <c r="H1346" s="1" t="str">
        <f>""</f>
        <v/>
      </c>
      <c r="I1346" s="1" t="str">
        <f>""</f>
        <v/>
      </c>
      <c r="J1346" s="1" t="str">
        <f>""</f>
        <v/>
      </c>
      <c r="K1346" s="1" t="str">
        <f>""</f>
        <v/>
      </c>
      <c r="L1346" s="1" t="str">
        <f t="shared" si="439"/>
        <v>R</v>
      </c>
      <c r="M1346" s="1" t="str">
        <f>""</f>
        <v/>
      </c>
      <c r="N1346" s="1" t="str">
        <f t="shared" si="440"/>
        <v>Y</v>
      </c>
      <c r="O1346" s="1" t="str">
        <f t="shared" si="447"/>
        <v>Y</v>
      </c>
      <c r="P1346" s="1" t="str">
        <f t="shared" si="443"/>
        <v>Y</v>
      </c>
      <c r="Q1346" s="1" t="str">
        <f t="shared" si="448"/>
        <v>A</v>
      </c>
    </row>
    <row r="1347" spans="1:17" x14ac:dyDescent="0.3">
      <c r="A1347" s="1" t="str">
        <f t="shared" si="449"/>
        <v>HD</v>
      </c>
      <c r="B1347" s="1" t="str">
        <f>"TBIJC01D"</f>
        <v>TBIJC01D</v>
      </c>
      <c r="C1347" s="1" t="str">
        <f>"혈중빌리루빈 증가"</f>
        <v>혈중빌리루빈 증가</v>
      </c>
      <c r="D1347" s="1" t="s">
        <v>413</v>
      </c>
      <c r="E1347" s="1" t="str">
        <f>""</f>
        <v/>
      </c>
      <c r="F1347" s="1" t="str">
        <f>""</f>
        <v/>
      </c>
      <c r="G1347" s="1" t="str">
        <f>""</f>
        <v/>
      </c>
      <c r="H1347" s="1" t="str">
        <f>""</f>
        <v/>
      </c>
      <c r="I1347" s="1" t="str">
        <f>""</f>
        <v/>
      </c>
      <c r="J1347" s="1" t="str">
        <f>""</f>
        <v/>
      </c>
      <c r="K1347" s="1" t="str">
        <f>""</f>
        <v/>
      </c>
      <c r="L1347" s="1" t="str">
        <f t="shared" si="439"/>
        <v>R</v>
      </c>
      <c r="M1347" s="1" t="str">
        <f>""</f>
        <v/>
      </c>
      <c r="N1347" s="1" t="str">
        <f t="shared" si="440"/>
        <v>Y</v>
      </c>
      <c r="O1347" s="1" t="str">
        <f t="shared" si="447"/>
        <v>Y</v>
      </c>
      <c r="P1347" s="1" t="str">
        <f t="shared" si="443"/>
        <v>Y</v>
      </c>
      <c r="Q1347" s="1" t="str">
        <f t="shared" si="448"/>
        <v>A</v>
      </c>
    </row>
    <row r="1348" spans="1:17" x14ac:dyDescent="0.3">
      <c r="A1348" s="1" t="str">
        <f t="shared" ref="A1348:A1379" si="450">"JA"</f>
        <v>JA</v>
      </c>
      <c r="B1348" s="1" t="str">
        <f>"AFPJA01"</f>
        <v>AFPJA01</v>
      </c>
      <c r="C1348" s="1" t="str">
        <f>"정상(태아단백)"</f>
        <v>정상(태아단백)</v>
      </c>
      <c r="D1348" s="1" t="str">
        <f>""</f>
        <v/>
      </c>
      <c r="E1348" s="1" t="str">
        <f>"WOK01"</f>
        <v>WOK01</v>
      </c>
      <c r="F1348" s="1" t="str">
        <f>""</f>
        <v/>
      </c>
      <c r="G1348" s="1" t="str">
        <f>""</f>
        <v/>
      </c>
      <c r="H1348" s="1" t="str">
        <f>""</f>
        <v/>
      </c>
      <c r="I1348" s="1" t="str">
        <f>""</f>
        <v/>
      </c>
      <c r="J1348" s="1" t="str">
        <f>""</f>
        <v/>
      </c>
      <c r="K1348" s="1" t="str">
        <f>""</f>
        <v/>
      </c>
      <c r="L1348" s="1" t="str">
        <f t="shared" si="439"/>
        <v>R</v>
      </c>
      <c r="M1348" s="1" t="str">
        <f>""</f>
        <v/>
      </c>
      <c r="N1348" s="1" t="str">
        <f t="shared" si="440"/>
        <v>Y</v>
      </c>
      <c r="O1348" s="1" t="str">
        <f t="shared" si="447"/>
        <v>Y</v>
      </c>
      <c r="P1348" s="1" t="str">
        <f t="shared" si="443"/>
        <v>Y</v>
      </c>
      <c r="Q1348" s="1" t="str">
        <f t="shared" si="448"/>
        <v>A</v>
      </c>
    </row>
    <row r="1349" spans="1:17" x14ac:dyDescent="0.3">
      <c r="A1349" s="1" t="str">
        <f t="shared" si="450"/>
        <v>JA</v>
      </c>
      <c r="B1349" s="1" t="str">
        <f>"ALBJA01"</f>
        <v>ALBJA01</v>
      </c>
      <c r="C1349" s="1" t="str">
        <f>"정상(알부민)"</f>
        <v>정상(알부민)</v>
      </c>
      <c r="D1349" s="1" t="str">
        <f>""</f>
        <v/>
      </c>
      <c r="E1349" s="1" t="str">
        <f>""</f>
        <v/>
      </c>
      <c r="F1349" s="1" t="str">
        <f>""</f>
        <v/>
      </c>
      <c r="G1349" s="1" t="str">
        <f>""</f>
        <v/>
      </c>
      <c r="H1349" s="1" t="str">
        <f>""</f>
        <v/>
      </c>
      <c r="I1349" s="1" t="str">
        <f>""</f>
        <v/>
      </c>
      <c r="J1349" s="1" t="str">
        <f>""</f>
        <v/>
      </c>
      <c r="K1349" s="1" t="str">
        <f>""</f>
        <v/>
      </c>
      <c r="L1349" s="1" t="str">
        <f t="shared" ref="L1349:L1412" si="451">"R"</f>
        <v>R</v>
      </c>
      <c r="M1349" s="1" t="str">
        <f>""</f>
        <v/>
      </c>
      <c r="N1349" s="1" t="str">
        <f t="shared" ref="N1349:N1412" si="452">"Y"</f>
        <v>Y</v>
      </c>
      <c r="O1349" s="1" t="str">
        <f t="shared" si="447"/>
        <v>Y</v>
      </c>
      <c r="P1349" s="1" t="str">
        <f t="shared" si="443"/>
        <v>Y</v>
      </c>
      <c r="Q1349" s="1" t="str">
        <f t="shared" si="448"/>
        <v>A</v>
      </c>
    </row>
    <row r="1350" spans="1:17" x14ac:dyDescent="0.3">
      <c r="A1350" s="1" t="str">
        <f t="shared" si="450"/>
        <v>JA</v>
      </c>
      <c r="B1350" s="1" t="str">
        <f>"ALKJA01"</f>
        <v>ALKJA01</v>
      </c>
      <c r="C1350" s="1" t="str">
        <f>"정상(알카리포스파타제)"</f>
        <v>정상(알카리포스파타제)</v>
      </c>
      <c r="D1350" s="1" t="str">
        <f>""</f>
        <v/>
      </c>
      <c r="E1350" s="1" t="str">
        <f>""</f>
        <v/>
      </c>
      <c r="F1350" s="1" t="str">
        <f>""</f>
        <v/>
      </c>
      <c r="G1350" s="1" t="str">
        <f>""</f>
        <v/>
      </c>
      <c r="H1350" s="1" t="str">
        <f>""</f>
        <v/>
      </c>
      <c r="I1350" s="1" t="str">
        <f>""</f>
        <v/>
      </c>
      <c r="J1350" s="1" t="str">
        <f>""</f>
        <v/>
      </c>
      <c r="K1350" s="1" t="str">
        <f>""</f>
        <v/>
      </c>
      <c r="L1350" s="1" t="str">
        <f t="shared" si="451"/>
        <v>R</v>
      </c>
      <c r="M1350" s="1" t="str">
        <f>""</f>
        <v/>
      </c>
      <c r="N1350" s="1" t="str">
        <f t="shared" si="452"/>
        <v>Y</v>
      </c>
      <c r="O1350" s="1" t="str">
        <f t="shared" si="447"/>
        <v>Y</v>
      </c>
      <c r="P1350" s="1" t="str">
        <f t="shared" si="443"/>
        <v>Y</v>
      </c>
      <c r="Q1350" s="1" t="str">
        <f t="shared" si="448"/>
        <v>A</v>
      </c>
    </row>
    <row r="1351" spans="1:17" x14ac:dyDescent="0.3">
      <c r="A1351" s="1" t="str">
        <f t="shared" si="450"/>
        <v>JA</v>
      </c>
      <c r="B1351" s="1" t="str">
        <f>"AMYJA01"</f>
        <v>AMYJA01</v>
      </c>
      <c r="C1351" s="1" t="str">
        <f>"정상(아밀라제)"</f>
        <v>정상(아밀라제)</v>
      </c>
      <c r="D1351" s="1" t="str">
        <f>""</f>
        <v/>
      </c>
      <c r="E1351" s="1" t="str">
        <f>"WOK01"</f>
        <v>WOK01</v>
      </c>
      <c r="F1351" s="1" t="str">
        <f>""</f>
        <v/>
      </c>
      <c r="G1351" s="1" t="str">
        <f>""</f>
        <v/>
      </c>
      <c r="H1351" s="1" t="str">
        <f>""</f>
        <v/>
      </c>
      <c r="I1351" s="1" t="str">
        <f>""</f>
        <v/>
      </c>
      <c r="J1351" s="1" t="str">
        <f>""</f>
        <v/>
      </c>
      <c r="K1351" s="1" t="str">
        <f>""</f>
        <v/>
      </c>
      <c r="L1351" s="1" t="str">
        <f t="shared" si="451"/>
        <v>R</v>
      </c>
      <c r="M1351" s="1" t="str">
        <f>""</f>
        <v/>
      </c>
      <c r="N1351" s="1" t="str">
        <f t="shared" si="452"/>
        <v>Y</v>
      </c>
      <c r="O1351" s="1" t="str">
        <f t="shared" si="447"/>
        <v>Y</v>
      </c>
      <c r="P1351" s="1" t="str">
        <f t="shared" si="443"/>
        <v>Y</v>
      </c>
      <c r="Q1351" s="1" t="str">
        <f t="shared" si="448"/>
        <v>A</v>
      </c>
    </row>
    <row r="1352" spans="1:17" x14ac:dyDescent="0.3">
      <c r="A1352" s="1" t="str">
        <f t="shared" si="450"/>
        <v>JA</v>
      </c>
      <c r="B1352" s="1" t="str">
        <f>"BGOJA01"</f>
        <v>BGOJA01</v>
      </c>
      <c r="C1352" s="1" t="str">
        <f>"정상(혈청지오티)"</f>
        <v>정상(혈청지오티)</v>
      </c>
      <c r="D1352" s="1" t="str">
        <f>""</f>
        <v/>
      </c>
      <c r="E1352" s="1" t="str">
        <f>"WOK01"</f>
        <v>WOK01</v>
      </c>
      <c r="F1352" s="1" t="str">
        <f>""</f>
        <v/>
      </c>
      <c r="G1352" s="1" t="str">
        <f>""</f>
        <v/>
      </c>
      <c r="H1352" s="1" t="str">
        <f>""</f>
        <v/>
      </c>
      <c r="I1352" s="1" t="str">
        <f>""</f>
        <v/>
      </c>
      <c r="J1352" s="1" t="str">
        <f>""</f>
        <v/>
      </c>
      <c r="K1352" s="1" t="str">
        <f>""</f>
        <v/>
      </c>
      <c r="L1352" s="1" t="str">
        <f t="shared" si="451"/>
        <v>R</v>
      </c>
      <c r="M1352" s="1" t="str">
        <f>""</f>
        <v/>
      </c>
      <c r="N1352" s="1" t="str">
        <f t="shared" si="452"/>
        <v>Y</v>
      </c>
      <c r="O1352" s="1" t="str">
        <f t="shared" si="447"/>
        <v>Y</v>
      </c>
      <c r="P1352" s="1" t="str">
        <f t="shared" si="443"/>
        <v>Y</v>
      </c>
      <c r="Q1352" s="1" t="str">
        <f t="shared" si="448"/>
        <v>A</v>
      </c>
    </row>
    <row r="1353" spans="1:17" x14ac:dyDescent="0.3">
      <c r="A1353" s="1" t="str">
        <f t="shared" si="450"/>
        <v>JA</v>
      </c>
      <c r="B1353" s="1" t="str">
        <f>"BGPJA01"</f>
        <v>BGPJA01</v>
      </c>
      <c r="C1353" s="1" t="str">
        <f>"정상(혈청지피티)"</f>
        <v>정상(혈청지피티)</v>
      </c>
      <c r="D1353" s="1" t="str">
        <f>""</f>
        <v/>
      </c>
      <c r="E1353" s="1" t="str">
        <f>"WOK01"</f>
        <v>WOK01</v>
      </c>
      <c r="F1353" s="1" t="str">
        <f>""</f>
        <v/>
      </c>
      <c r="G1353" s="1" t="str">
        <f>""</f>
        <v/>
      </c>
      <c r="H1353" s="1" t="str">
        <f>""</f>
        <v/>
      </c>
      <c r="I1353" s="1" t="str">
        <f>""</f>
        <v/>
      </c>
      <c r="J1353" s="1" t="str">
        <f>""</f>
        <v/>
      </c>
      <c r="K1353" s="1" t="str">
        <f>""</f>
        <v/>
      </c>
      <c r="L1353" s="1" t="str">
        <f t="shared" si="451"/>
        <v>R</v>
      </c>
      <c r="M1353" s="1" t="str">
        <f>""</f>
        <v/>
      </c>
      <c r="N1353" s="1" t="str">
        <f t="shared" si="452"/>
        <v>Y</v>
      </c>
      <c r="O1353" s="1" t="str">
        <f t="shared" si="447"/>
        <v>Y</v>
      </c>
      <c r="P1353" s="1" t="str">
        <f t="shared" si="443"/>
        <v>Y</v>
      </c>
      <c r="Q1353" s="1" t="str">
        <f t="shared" si="448"/>
        <v>A</v>
      </c>
    </row>
    <row r="1354" spans="1:17" x14ac:dyDescent="0.3">
      <c r="A1354" s="1" t="str">
        <f t="shared" si="450"/>
        <v>JA</v>
      </c>
      <c r="B1354" s="1" t="str">
        <f>"BLGJA01"</f>
        <v>BLGJA01</v>
      </c>
      <c r="C1354" s="1" t="str">
        <f>"정상(혈당)"</f>
        <v>정상(혈당)</v>
      </c>
      <c r="D1354" s="1" t="str">
        <f>""</f>
        <v/>
      </c>
      <c r="E1354" s="1" t="str">
        <f>"WOK01"</f>
        <v>WOK01</v>
      </c>
      <c r="F1354" s="1" t="str">
        <f>""</f>
        <v/>
      </c>
      <c r="G1354" s="1" t="str">
        <f>""</f>
        <v/>
      </c>
      <c r="H1354" s="1" t="str">
        <f>""</f>
        <v/>
      </c>
      <c r="I1354" s="1" t="str">
        <f>""</f>
        <v/>
      </c>
      <c r="J1354" s="1" t="str">
        <f>""</f>
        <v/>
      </c>
      <c r="K1354" s="1" t="str">
        <f>""</f>
        <v/>
      </c>
      <c r="L1354" s="1" t="str">
        <f t="shared" si="451"/>
        <v>R</v>
      </c>
      <c r="M1354" s="1" t="str">
        <f>""</f>
        <v/>
      </c>
      <c r="N1354" s="1" t="str">
        <f t="shared" si="452"/>
        <v>Y</v>
      </c>
      <c r="O1354" s="1" t="str">
        <f t="shared" si="447"/>
        <v>Y</v>
      </c>
      <c r="P1354" s="1" t="str">
        <f t="shared" ref="P1354:P1417" si="453">"Y"</f>
        <v>Y</v>
      </c>
      <c r="Q1354" s="1" t="str">
        <f t="shared" si="448"/>
        <v>A</v>
      </c>
    </row>
    <row r="1355" spans="1:17" x14ac:dyDescent="0.3">
      <c r="A1355" s="1" t="str">
        <f t="shared" si="450"/>
        <v>JA</v>
      </c>
      <c r="B1355" s="1" t="str">
        <f>"BLTJA01"</f>
        <v>BLTJA01</v>
      </c>
      <c r="C1355" s="1" t="str">
        <f>"정상(총콜레스테롤)"</f>
        <v>정상(총콜레스테롤)</v>
      </c>
      <c r="D1355" s="1" t="str">
        <f>""</f>
        <v/>
      </c>
      <c r="E1355" s="1" t="str">
        <f>"WOK01"</f>
        <v>WOK01</v>
      </c>
      <c r="F1355" s="1" t="str">
        <f>""</f>
        <v/>
      </c>
      <c r="G1355" s="1" t="str">
        <f>""</f>
        <v/>
      </c>
      <c r="H1355" s="1" t="str">
        <f>""</f>
        <v/>
      </c>
      <c r="I1355" s="1" t="str">
        <f>""</f>
        <v/>
      </c>
      <c r="J1355" s="1" t="str">
        <f>""</f>
        <v/>
      </c>
      <c r="K1355" s="1" t="str">
        <f>""</f>
        <v/>
      </c>
      <c r="L1355" s="1" t="str">
        <f t="shared" si="451"/>
        <v>R</v>
      </c>
      <c r="M1355" s="1" t="str">
        <f>""</f>
        <v/>
      </c>
      <c r="N1355" s="1" t="str">
        <f t="shared" si="452"/>
        <v>Y</v>
      </c>
      <c r="O1355" s="1" t="str">
        <f t="shared" si="447"/>
        <v>Y</v>
      </c>
      <c r="P1355" s="1" t="str">
        <f t="shared" si="453"/>
        <v>Y</v>
      </c>
      <c r="Q1355" s="1" t="str">
        <f t="shared" si="448"/>
        <v>A</v>
      </c>
    </row>
    <row r="1356" spans="1:17" x14ac:dyDescent="0.3">
      <c r="A1356" s="1" t="str">
        <f t="shared" si="450"/>
        <v>JA</v>
      </c>
      <c r="B1356" s="1" t="str">
        <f>"BONJA01"</f>
        <v>BONJA01</v>
      </c>
      <c r="C1356" s="1" t="str">
        <f>"정상(골밀도)"</f>
        <v>정상(골밀도)</v>
      </c>
      <c r="D1356" s="1" t="str">
        <f>""</f>
        <v/>
      </c>
      <c r="E1356" s="1" t="str">
        <f>""</f>
        <v/>
      </c>
      <c r="F1356" s="1" t="str">
        <f>""</f>
        <v/>
      </c>
      <c r="G1356" s="1" t="str">
        <f>""</f>
        <v/>
      </c>
      <c r="H1356" s="1" t="str">
        <f>""</f>
        <v/>
      </c>
      <c r="I1356" s="1" t="str">
        <f>""</f>
        <v/>
      </c>
      <c r="J1356" s="1" t="str">
        <f>""</f>
        <v/>
      </c>
      <c r="K1356" s="1" t="str">
        <f>""</f>
        <v/>
      </c>
      <c r="L1356" s="1" t="str">
        <f t="shared" si="451"/>
        <v>R</v>
      </c>
      <c r="M1356" s="1" t="str">
        <f>""</f>
        <v/>
      </c>
      <c r="N1356" s="1" t="str">
        <f t="shared" si="452"/>
        <v>Y</v>
      </c>
      <c r="O1356" s="1" t="str">
        <f t="shared" si="447"/>
        <v>Y</v>
      </c>
      <c r="P1356" s="1" t="str">
        <f t="shared" si="453"/>
        <v>Y</v>
      </c>
      <c r="Q1356" s="1" t="str">
        <f t="shared" si="448"/>
        <v>A</v>
      </c>
    </row>
    <row r="1357" spans="1:17" x14ac:dyDescent="0.3">
      <c r="A1357" s="1" t="str">
        <f t="shared" si="450"/>
        <v>JA</v>
      </c>
      <c r="B1357" s="1" t="str">
        <f>"BPDJA01"</f>
        <v>BPDJA01</v>
      </c>
      <c r="C1357" s="1" t="str">
        <f>"정상"</f>
        <v>정상</v>
      </c>
      <c r="D1357" s="1" t="str">
        <f>""</f>
        <v/>
      </c>
      <c r="E1357" s="1" t="str">
        <f>"WOK01"</f>
        <v>WOK01</v>
      </c>
      <c r="F1357" s="1" t="str">
        <f>""</f>
        <v/>
      </c>
      <c r="G1357" s="1" t="str">
        <f>""</f>
        <v/>
      </c>
      <c r="H1357" s="1" t="str">
        <f>""</f>
        <v/>
      </c>
      <c r="I1357" s="1" t="str">
        <f>""</f>
        <v/>
      </c>
      <c r="J1357" s="1" t="str">
        <f>""</f>
        <v/>
      </c>
      <c r="K1357" s="1" t="str">
        <f>""</f>
        <v/>
      </c>
      <c r="L1357" s="1" t="str">
        <f t="shared" si="451"/>
        <v>R</v>
      </c>
      <c r="M1357" s="1" t="str">
        <f>""</f>
        <v/>
      </c>
      <c r="N1357" s="1" t="str">
        <f t="shared" si="452"/>
        <v>Y</v>
      </c>
      <c r="O1357" s="1" t="str">
        <f t="shared" si="447"/>
        <v>Y</v>
      </c>
      <c r="P1357" s="1" t="str">
        <f t="shared" si="453"/>
        <v>Y</v>
      </c>
      <c r="Q1357" s="1" t="str">
        <f t="shared" si="448"/>
        <v>A</v>
      </c>
    </row>
    <row r="1358" spans="1:17" x14ac:dyDescent="0.3">
      <c r="A1358" s="1" t="str">
        <f t="shared" si="450"/>
        <v>JA</v>
      </c>
      <c r="B1358" s="1" t="str">
        <f>"BPSJA01"</f>
        <v>BPSJA01</v>
      </c>
      <c r="C1358" s="1" t="str">
        <f>"정상(혈압)"</f>
        <v>정상(혈압)</v>
      </c>
      <c r="D1358" s="1" t="str">
        <f>""</f>
        <v/>
      </c>
      <c r="E1358" s="1" t="str">
        <f>"WOK01"</f>
        <v>WOK01</v>
      </c>
      <c r="F1358" s="1" t="str">
        <f>""</f>
        <v/>
      </c>
      <c r="G1358" s="1" t="str">
        <f>""</f>
        <v/>
      </c>
      <c r="H1358" s="1" t="str">
        <f>""</f>
        <v/>
      </c>
      <c r="I1358" s="1" t="str">
        <f>""</f>
        <v/>
      </c>
      <c r="J1358" s="1" t="str">
        <f>""</f>
        <v/>
      </c>
      <c r="K1358" s="1" t="str">
        <f>""</f>
        <v/>
      </c>
      <c r="L1358" s="1" t="str">
        <f t="shared" si="451"/>
        <v>R</v>
      </c>
      <c r="M1358" s="1" t="str">
        <f>""</f>
        <v/>
      </c>
      <c r="N1358" s="1" t="str">
        <f t="shared" si="452"/>
        <v>Y</v>
      </c>
      <c r="O1358" s="1" t="str">
        <f t="shared" si="447"/>
        <v>Y</v>
      </c>
      <c r="P1358" s="1" t="str">
        <f t="shared" si="453"/>
        <v>Y</v>
      </c>
      <c r="Q1358" s="1" t="str">
        <f t="shared" si="448"/>
        <v>A</v>
      </c>
    </row>
    <row r="1359" spans="1:17" x14ac:dyDescent="0.3">
      <c r="A1359" s="1" t="str">
        <f t="shared" si="450"/>
        <v>JA</v>
      </c>
      <c r="B1359" s="1" t="str">
        <f>"BUNJA01"</f>
        <v>BUNJA01</v>
      </c>
      <c r="C1359" s="1" t="str">
        <f>"정상(혈중요소질소)"</f>
        <v>정상(혈중요소질소)</v>
      </c>
      <c r="D1359" s="1" t="str">
        <f>""</f>
        <v/>
      </c>
      <c r="E1359" s="1" t="str">
        <f>""</f>
        <v/>
      </c>
      <c r="F1359" s="1" t="str">
        <f>""</f>
        <v/>
      </c>
      <c r="G1359" s="1" t="str">
        <f>""</f>
        <v/>
      </c>
      <c r="H1359" s="1" t="str">
        <f>""</f>
        <v/>
      </c>
      <c r="I1359" s="1" t="str">
        <f>""</f>
        <v/>
      </c>
      <c r="J1359" s="1" t="str">
        <f>""</f>
        <v/>
      </c>
      <c r="K1359" s="1" t="str">
        <f>""</f>
        <v/>
      </c>
      <c r="L1359" s="1" t="str">
        <f t="shared" si="451"/>
        <v>R</v>
      </c>
      <c r="M1359" s="1" t="str">
        <f>""</f>
        <v/>
      </c>
      <c r="N1359" s="1" t="str">
        <f t="shared" si="452"/>
        <v>Y</v>
      </c>
      <c r="O1359" s="1" t="str">
        <f t="shared" si="447"/>
        <v>Y</v>
      </c>
      <c r="P1359" s="1" t="str">
        <f t="shared" si="453"/>
        <v>Y</v>
      </c>
      <c r="Q1359" s="1" t="str">
        <f t="shared" si="448"/>
        <v>A</v>
      </c>
    </row>
    <row r="1360" spans="1:17" x14ac:dyDescent="0.3">
      <c r="A1360" s="1" t="str">
        <f t="shared" si="450"/>
        <v>JA</v>
      </c>
      <c r="B1360" s="1" t="str">
        <f>"CA5JA01"</f>
        <v>CA5JA01</v>
      </c>
      <c r="C1360" s="1" t="str">
        <f>"정상(CA125)"</f>
        <v>정상(CA125)</v>
      </c>
      <c r="D1360" s="1" t="str">
        <f>""</f>
        <v/>
      </c>
      <c r="E1360" s="1" t="str">
        <f>"WOK01"</f>
        <v>WOK01</v>
      </c>
      <c r="F1360" s="1" t="str">
        <f>""</f>
        <v/>
      </c>
      <c r="G1360" s="1" t="str">
        <f>""</f>
        <v/>
      </c>
      <c r="H1360" s="1" t="str">
        <f>""</f>
        <v/>
      </c>
      <c r="I1360" s="1" t="str">
        <f>""</f>
        <v/>
      </c>
      <c r="J1360" s="1" t="str">
        <f>""</f>
        <v/>
      </c>
      <c r="K1360" s="1" t="str">
        <f>""</f>
        <v/>
      </c>
      <c r="L1360" s="1" t="str">
        <f t="shared" si="451"/>
        <v>R</v>
      </c>
      <c r="M1360" s="1" t="str">
        <f>""</f>
        <v/>
      </c>
      <c r="N1360" s="1" t="str">
        <f t="shared" si="452"/>
        <v>Y</v>
      </c>
      <c r="O1360" s="1" t="str">
        <f t="shared" si="447"/>
        <v>Y</v>
      </c>
      <c r="P1360" s="1" t="str">
        <f t="shared" si="453"/>
        <v>Y</v>
      </c>
      <c r="Q1360" s="1" t="str">
        <f t="shared" si="448"/>
        <v>A</v>
      </c>
    </row>
    <row r="1361" spans="1:17" x14ac:dyDescent="0.3">
      <c r="A1361" s="1" t="str">
        <f t="shared" si="450"/>
        <v>JA</v>
      </c>
      <c r="B1361" s="1" t="str">
        <f>"CA9JA01"</f>
        <v>CA9JA01</v>
      </c>
      <c r="C1361" s="1" t="str">
        <f>"정상(CA19-9)"</f>
        <v>정상(CA19-9)</v>
      </c>
      <c r="D1361" s="1" t="str">
        <f>""</f>
        <v/>
      </c>
      <c r="E1361" s="1" t="str">
        <f>""</f>
        <v/>
      </c>
      <c r="F1361" s="1" t="str">
        <f>""</f>
        <v/>
      </c>
      <c r="G1361" s="1" t="str">
        <f>""</f>
        <v/>
      </c>
      <c r="H1361" s="1" t="str">
        <f>""</f>
        <v/>
      </c>
      <c r="I1361" s="1" t="str">
        <f>""</f>
        <v/>
      </c>
      <c r="J1361" s="1" t="str">
        <f>""</f>
        <v/>
      </c>
      <c r="K1361" s="1" t="str">
        <f>""</f>
        <v/>
      </c>
      <c r="L1361" s="1" t="str">
        <f t="shared" si="451"/>
        <v>R</v>
      </c>
      <c r="M1361" s="1" t="str">
        <f>""</f>
        <v/>
      </c>
      <c r="N1361" s="1" t="str">
        <f t="shared" si="452"/>
        <v>Y</v>
      </c>
      <c r="O1361" s="1" t="str">
        <f t="shared" si="447"/>
        <v>Y</v>
      </c>
      <c r="P1361" s="1" t="str">
        <f t="shared" si="453"/>
        <v>Y</v>
      </c>
      <c r="Q1361" s="1" t="str">
        <f t="shared" si="448"/>
        <v>A</v>
      </c>
    </row>
    <row r="1362" spans="1:17" x14ac:dyDescent="0.3">
      <c r="A1362" s="1" t="str">
        <f t="shared" si="450"/>
        <v>JA</v>
      </c>
      <c r="B1362" s="1" t="str">
        <f>"CALJA01"</f>
        <v>CALJA01</v>
      </c>
      <c r="C1362" s="1" t="str">
        <f>"정상(칼슘)"</f>
        <v>정상(칼슘)</v>
      </c>
      <c r="D1362" s="1" t="str">
        <f>""</f>
        <v/>
      </c>
      <c r="E1362" s="1" t="str">
        <f>""</f>
        <v/>
      </c>
      <c r="F1362" s="1" t="str">
        <f>""</f>
        <v/>
      </c>
      <c r="G1362" s="1" t="str">
        <f>""</f>
        <v/>
      </c>
      <c r="H1362" s="1" t="str">
        <f>""</f>
        <v/>
      </c>
      <c r="I1362" s="1" t="str">
        <f>""</f>
        <v/>
      </c>
      <c r="J1362" s="1" t="str">
        <f>""</f>
        <v/>
      </c>
      <c r="K1362" s="1" t="str">
        <f>""</f>
        <v/>
      </c>
      <c r="L1362" s="1" t="str">
        <f t="shared" si="451"/>
        <v>R</v>
      </c>
      <c r="M1362" s="1" t="str">
        <f>""</f>
        <v/>
      </c>
      <c r="N1362" s="1" t="str">
        <f t="shared" si="452"/>
        <v>Y</v>
      </c>
      <c r="O1362" s="1" t="str">
        <f t="shared" si="447"/>
        <v>Y</v>
      </c>
      <c r="P1362" s="1" t="str">
        <f t="shared" si="453"/>
        <v>Y</v>
      </c>
      <c r="Q1362" s="1" t="str">
        <f t="shared" si="448"/>
        <v>A</v>
      </c>
    </row>
    <row r="1363" spans="1:17" x14ac:dyDescent="0.3">
      <c r="A1363" s="1" t="str">
        <f t="shared" si="450"/>
        <v>JA</v>
      </c>
      <c r="B1363" s="1" t="str">
        <f>"CEAJA01"</f>
        <v>CEAJA01</v>
      </c>
      <c r="C1363" s="1" t="str">
        <f>"정상(CEA)"</f>
        <v>정상(CEA)</v>
      </c>
      <c r="D1363" s="1" t="str">
        <f>""</f>
        <v/>
      </c>
      <c r="E1363" s="1" t="str">
        <f>"WOK01"</f>
        <v>WOK01</v>
      </c>
      <c r="F1363" s="1" t="str">
        <f>""</f>
        <v/>
      </c>
      <c r="G1363" s="1" t="str">
        <f>""</f>
        <v/>
      </c>
      <c r="H1363" s="1" t="str">
        <f>""</f>
        <v/>
      </c>
      <c r="I1363" s="1" t="str">
        <f>""</f>
        <v/>
      </c>
      <c r="J1363" s="1" t="str">
        <f>""</f>
        <v/>
      </c>
      <c r="K1363" s="1" t="str">
        <f>""</f>
        <v/>
      </c>
      <c r="L1363" s="1" t="str">
        <f t="shared" si="451"/>
        <v>R</v>
      </c>
      <c r="M1363" s="1" t="str">
        <f>""</f>
        <v/>
      </c>
      <c r="N1363" s="1" t="str">
        <f t="shared" si="452"/>
        <v>Y</v>
      </c>
      <c r="O1363" s="1" t="str">
        <f t="shared" si="447"/>
        <v>Y</v>
      </c>
      <c r="P1363" s="1" t="str">
        <f t="shared" si="453"/>
        <v>Y</v>
      </c>
      <c r="Q1363" s="1" t="str">
        <f t="shared" si="448"/>
        <v>A</v>
      </c>
    </row>
    <row r="1364" spans="1:17" x14ac:dyDescent="0.3">
      <c r="A1364" s="1" t="str">
        <f t="shared" si="450"/>
        <v>JA</v>
      </c>
      <c r="B1364" s="1" t="str">
        <f>"CERJA01"</f>
        <v>CERJA01</v>
      </c>
      <c r="C1364" s="1" t="str">
        <f>"정상"</f>
        <v>정상</v>
      </c>
      <c r="D1364" s="1" t="str">
        <f>"자궁경부 세포검사결과 특이 이상소견 없습니다."</f>
        <v>자궁경부 세포검사결과 특이 이상소견 없습니다.</v>
      </c>
      <c r="E1364" s="1" t="str">
        <f>""</f>
        <v/>
      </c>
      <c r="F1364" s="1" t="str">
        <f>""</f>
        <v/>
      </c>
      <c r="G1364" s="1" t="str">
        <f>""</f>
        <v/>
      </c>
      <c r="H1364" s="1" t="str">
        <f>""</f>
        <v/>
      </c>
      <c r="I1364" s="1" t="str">
        <f>""</f>
        <v/>
      </c>
      <c r="J1364" s="1" t="str">
        <f>""</f>
        <v/>
      </c>
      <c r="K1364" s="1" t="str">
        <f>""</f>
        <v/>
      </c>
      <c r="L1364" s="1" t="str">
        <f t="shared" si="451"/>
        <v>R</v>
      </c>
      <c r="M1364" s="1" t="str">
        <f>""</f>
        <v/>
      </c>
      <c r="N1364" s="1" t="str">
        <f t="shared" si="452"/>
        <v>Y</v>
      </c>
      <c r="O1364" s="1" t="str">
        <f t="shared" si="447"/>
        <v>Y</v>
      </c>
      <c r="P1364" s="1" t="str">
        <f t="shared" si="453"/>
        <v>Y</v>
      </c>
      <c r="Q1364" s="1" t="str">
        <f t="shared" si="448"/>
        <v>A</v>
      </c>
    </row>
    <row r="1365" spans="1:17" x14ac:dyDescent="0.3">
      <c r="A1365" s="1" t="str">
        <f t="shared" si="450"/>
        <v>JA</v>
      </c>
      <c r="B1365" s="1" t="str">
        <f>"CHLJA01"</f>
        <v>CHLJA01</v>
      </c>
      <c r="C1365" s="1" t="str">
        <f>"정상(염소)"</f>
        <v>정상(염소)</v>
      </c>
      <c r="D1365" s="1" t="str">
        <f>""</f>
        <v/>
      </c>
      <c r="E1365" s="1" t="str">
        <f>""</f>
        <v/>
      </c>
      <c r="F1365" s="1" t="str">
        <f>""</f>
        <v/>
      </c>
      <c r="G1365" s="1" t="str">
        <f>""</f>
        <v/>
      </c>
      <c r="H1365" s="1" t="str">
        <f>""</f>
        <v/>
      </c>
      <c r="I1365" s="1" t="str">
        <f>""</f>
        <v/>
      </c>
      <c r="J1365" s="1" t="str">
        <f>""</f>
        <v/>
      </c>
      <c r="K1365" s="1" t="str">
        <f>""</f>
        <v/>
      </c>
      <c r="L1365" s="1" t="str">
        <f t="shared" si="451"/>
        <v>R</v>
      </c>
      <c r="M1365" s="1" t="str">
        <f>""</f>
        <v/>
      </c>
      <c r="N1365" s="1" t="str">
        <f t="shared" si="452"/>
        <v>Y</v>
      </c>
      <c r="O1365" s="1" t="str">
        <f t="shared" si="447"/>
        <v>Y</v>
      </c>
      <c r="P1365" s="1" t="str">
        <f t="shared" si="453"/>
        <v>Y</v>
      </c>
      <c r="Q1365" s="1" t="str">
        <f t="shared" si="448"/>
        <v>A</v>
      </c>
    </row>
    <row r="1366" spans="1:17" x14ac:dyDescent="0.3">
      <c r="A1366" s="1" t="str">
        <f t="shared" si="450"/>
        <v>JA</v>
      </c>
      <c r="B1366" s="1" t="str">
        <f>"CPKJA01"</f>
        <v>CPKJA01</v>
      </c>
      <c r="C1366" s="1" t="str">
        <f>"정상(CPK)"</f>
        <v>정상(CPK)</v>
      </c>
      <c r="D1366" s="1" t="str">
        <f>""</f>
        <v/>
      </c>
      <c r="E1366" s="1" t="str">
        <f>""</f>
        <v/>
      </c>
      <c r="F1366" s="1" t="str">
        <f>""</f>
        <v/>
      </c>
      <c r="G1366" s="1" t="str">
        <f>""</f>
        <v/>
      </c>
      <c r="H1366" s="1" t="str">
        <f>""</f>
        <v/>
      </c>
      <c r="I1366" s="1" t="str">
        <f>""</f>
        <v/>
      </c>
      <c r="J1366" s="1" t="str">
        <f>""</f>
        <v/>
      </c>
      <c r="K1366" s="1" t="str">
        <f>""</f>
        <v/>
      </c>
      <c r="L1366" s="1" t="str">
        <f t="shared" si="451"/>
        <v>R</v>
      </c>
      <c r="M1366" s="1" t="str">
        <f>""</f>
        <v/>
      </c>
      <c r="N1366" s="1" t="str">
        <f t="shared" si="452"/>
        <v>Y</v>
      </c>
      <c r="O1366" s="1" t="str">
        <f t="shared" si="447"/>
        <v>Y</v>
      </c>
      <c r="P1366" s="1" t="str">
        <f t="shared" si="453"/>
        <v>Y</v>
      </c>
      <c r="Q1366" s="1" t="str">
        <f t="shared" si="448"/>
        <v>A</v>
      </c>
    </row>
    <row r="1367" spans="1:17" x14ac:dyDescent="0.3">
      <c r="A1367" s="1" t="str">
        <f t="shared" si="450"/>
        <v>JA</v>
      </c>
      <c r="B1367" s="1" t="str">
        <f>"CREJA01"</f>
        <v>CREJA01</v>
      </c>
      <c r="C1367" s="1" t="str">
        <f>"정상(크레아티닌)"</f>
        <v>정상(크레아티닌)</v>
      </c>
      <c r="D1367" s="1" t="str">
        <f>""</f>
        <v/>
      </c>
      <c r="E1367" s="1" t="str">
        <f>"WOK01"</f>
        <v>WOK01</v>
      </c>
      <c r="F1367" s="1" t="str">
        <f>""</f>
        <v/>
      </c>
      <c r="G1367" s="1" t="str">
        <f>""</f>
        <v/>
      </c>
      <c r="H1367" s="1" t="str">
        <f>""</f>
        <v/>
      </c>
      <c r="I1367" s="1" t="str">
        <f>""</f>
        <v/>
      </c>
      <c r="J1367" s="1" t="str">
        <f>""</f>
        <v/>
      </c>
      <c r="K1367" s="1" t="str">
        <f>""</f>
        <v/>
      </c>
      <c r="L1367" s="1" t="str">
        <f t="shared" si="451"/>
        <v>R</v>
      </c>
      <c r="M1367" s="1" t="str">
        <f>""</f>
        <v/>
      </c>
      <c r="N1367" s="1" t="str">
        <f t="shared" si="452"/>
        <v>Y</v>
      </c>
      <c r="O1367" s="1" t="str">
        <f t="shared" si="447"/>
        <v>Y</v>
      </c>
      <c r="P1367" s="1" t="str">
        <f t="shared" si="453"/>
        <v>Y</v>
      </c>
      <c r="Q1367" s="1" t="str">
        <f t="shared" si="448"/>
        <v>A</v>
      </c>
    </row>
    <row r="1368" spans="1:17" x14ac:dyDescent="0.3">
      <c r="A1368" s="1" t="str">
        <f t="shared" si="450"/>
        <v>JA</v>
      </c>
      <c r="B1368" s="1" t="str">
        <f>"CRPJA01"</f>
        <v>CRPJA01</v>
      </c>
      <c r="C1368" s="1" t="str">
        <f>"정상(C반응단백)"</f>
        <v>정상(C반응단백)</v>
      </c>
      <c r="D1368" s="1" t="str">
        <f>""</f>
        <v/>
      </c>
      <c r="E1368" s="1" t="str">
        <f>""</f>
        <v/>
      </c>
      <c r="F1368" s="1" t="str">
        <f>""</f>
        <v/>
      </c>
      <c r="G1368" s="1" t="str">
        <f>""</f>
        <v/>
      </c>
      <c r="H1368" s="1" t="str">
        <f>""</f>
        <v/>
      </c>
      <c r="I1368" s="1" t="str">
        <f>""</f>
        <v/>
      </c>
      <c r="J1368" s="1" t="str">
        <f>""</f>
        <v/>
      </c>
      <c r="K1368" s="1" t="str">
        <f>""</f>
        <v/>
      </c>
      <c r="L1368" s="1" t="str">
        <f t="shared" si="451"/>
        <v>R</v>
      </c>
      <c r="M1368" s="1" t="str">
        <f>""</f>
        <v/>
      </c>
      <c r="N1368" s="1" t="str">
        <f t="shared" si="452"/>
        <v>Y</v>
      </c>
      <c r="O1368" s="1" t="str">
        <f t="shared" si="447"/>
        <v>Y</v>
      </c>
      <c r="P1368" s="1" t="str">
        <f t="shared" si="453"/>
        <v>Y</v>
      </c>
      <c r="Q1368" s="1" t="str">
        <f t="shared" si="448"/>
        <v>A</v>
      </c>
    </row>
    <row r="1369" spans="1:17" x14ac:dyDescent="0.3">
      <c r="A1369" s="1" t="str">
        <f t="shared" si="450"/>
        <v>JA</v>
      </c>
      <c r="B1369" s="1" t="str">
        <f>"CYFJA01"</f>
        <v>CYFJA01</v>
      </c>
      <c r="C1369" s="1" t="str">
        <f>"정상(폐암표지자)"</f>
        <v>정상(폐암표지자)</v>
      </c>
      <c r="D1369" s="1" t="str">
        <f>""</f>
        <v/>
      </c>
      <c r="E1369" s="1" t="str">
        <f>""</f>
        <v/>
      </c>
      <c r="F1369" s="1" t="str">
        <f>""</f>
        <v/>
      </c>
      <c r="G1369" s="1" t="str">
        <f>""</f>
        <v/>
      </c>
      <c r="H1369" s="1" t="str">
        <f>""</f>
        <v/>
      </c>
      <c r="I1369" s="1" t="str">
        <f>""</f>
        <v/>
      </c>
      <c r="J1369" s="1" t="str">
        <f>""</f>
        <v/>
      </c>
      <c r="K1369" s="1" t="str">
        <f>""</f>
        <v/>
      </c>
      <c r="L1369" s="1" t="str">
        <f t="shared" si="451"/>
        <v>R</v>
      </c>
      <c r="M1369" s="1" t="str">
        <f>""</f>
        <v/>
      </c>
      <c r="N1369" s="1" t="str">
        <f t="shared" si="452"/>
        <v>Y</v>
      </c>
      <c r="O1369" s="1" t="str">
        <f t="shared" si="447"/>
        <v>Y</v>
      </c>
      <c r="P1369" s="1" t="str">
        <f t="shared" si="453"/>
        <v>Y</v>
      </c>
      <c r="Q1369" s="1" t="str">
        <f t="shared" si="448"/>
        <v>A</v>
      </c>
    </row>
    <row r="1370" spans="1:17" x14ac:dyDescent="0.3">
      <c r="A1370" s="1" t="str">
        <f t="shared" si="450"/>
        <v>JA</v>
      </c>
      <c r="B1370" s="1" t="str">
        <f>"DBIJA01"</f>
        <v>DBIJA01</v>
      </c>
      <c r="C1370" s="1" t="str">
        <f>"정상(직접빌리루빈)"</f>
        <v>정상(직접빌리루빈)</v>
      </c>
      <c r="D1370" s="1" t="str">
        <f>""</f>
        <v/>
      </c>
      <c r="E1370" s="1" t="str">
        <f>""</f>
        <v/>
      </c>
      <c r="F1370" s="1" t="str">
        <f>""</f>
        <v/>
      </c>
      <c r="G1370" s="1" t="str">
        <f>""</f>
        <v/>
      </c>
      <c r="H1370" s="1" t="str">
        <f>""</f>
        <v/>
      </c>
      <c r="I1370" s="1" t="str">
        <f>""</f>
        <v/>
      </c>
      <c r="J1370" s="1" t="str">
        <f>""</f>
        <v/>
      </c>
      <c r="K1370" s="1" t="str">
        <f>""</f>
        <v/>
      </c>
      <c r="L1370" s="1" t="str">
        <f t="shared" si="451"/>
        <v>R</v>
      </c>
      <c r="M1370" s="1" t="str">
        <f>""</f>
        <v/>
      </c>
      <c r="N1370" s="1" t="str">
        <f t="shared" si="452"/>
        <v>Y</v>
      </c>
      <c r="O1370" s="1" t="str">
        <f t="shared" si="447"/>
        <v>Y</v>
      </c>
      <c r="P1370" s="1" t="str">
        <f t="shared" si="453"/>
        <v>Y</v>
      </c>
      <c r="Q1370" s="1" t="str">
        <f t="shared" si="448"/>
        <v>A</v>
      </c>
    </row>
    <row r="1371" spans="1:17" x14ac:dyDescent="0.3">
      <c r="A1371" s="1" t="str">
        <f t="shared" si="450"/>
        <v>JA</v>
      </c>
      <c r="B1371" s="1" t="str">
        <f>"DENJA01"</f>
        <v>DENJA01</v>
      </c>
      <c r="C1371" s="1" t="str">
        <f>"정상"</f>
        <v>정상</v>
      </c>
      <c r="D1371" s="1" t="str">
        <f>"치과 검사결과 이상소견 발견되지 않았습니다."</f>
        <v>치과 검사결과 이상소견 발견되지 않았습니다.</v>
      </c>
      <c r="E1371" s="1" t="str">
        <f>""</f>
        <v/>
      </c>
      <c r="F1371" s="1" t="str">
        <f>""</f>
        <v/>
      </c>
      <c r="G1371" s="1" t="str">
        <f>""</f>
        <v/>
      </c>
      <c r="H1371" s="1" t="str">
        <f>""</f>
        <v/>
      </c>
      <c r="I1371" s="1" t="str">
        <f>""</f>
        <v/>
      </c>
      <c r="J1371" s="1" t="str">
        <f>""</f>
        <v/>
      </c>
      <c r="K1371" s="1" t="str">
        <f>""</f>
        <v/>
      </c>
      <c r="L1371" s="1" t="str">
        <f t="shared" si="451"/>
        <v>R</v>
      </c>
      <c r="M1371" s="1" t="str">
        <f>""</f>
        <v/>
      </c>
      <c r="N1371" s="1" t="str">
        <f t="shared" si="452"/>
        <v>Y</v>
      </c>
      <c r="O1371" s="1" t="str">
        <f t="shared" si="447"/>
        <v>Y</v>
      </c>
      <c r="P1371" s="1" t="str">
        <f t="shared" si="453"/>
        <v>Y</v>
      </c>
      <c r="Q1371" s="1" t="str">
        <f t="shared" si="448"/>
        <v>A</v>
      </c>
    </row>
    <row r="1372" spans="1:17" x14ac:dyDescent="0.3">
      <c r="A1372" s="1" t="str">
        <f t="shared" si="450"/>
        <v>JA</v>
      </c>
      <c r="B1372" s="1" t="str">
        <f>"ENDJA01"</f>
        <v>ENDJA01</v>
      </c>
      <c r="C1372" s="1" t="str">
        <f>"정상"</f>
        <v>정상</v>
      </c>
      <c r="D1372" s="1" t="str">
        <f>"위 내시경 검사 결과 이상소견이 발견되지 않았습니다. 현재와 같은 건강을 유지하기 위하여 주의하시고 소화기계이상 증상이 나타나면 내원하시어 상담하시기 바랍니다."</f>
        <v>위 내시경 검사 결과 이상소견이 발견되지 않았습니다. 현재와 같은 건강을 유지하기 위하여 주의하시고 소화기계이상 증상이 나타나면 내원하시어 상담하시기 바랍니다.</v>
      </c>
      <c r="E1372" s="1" t="str">
        <f>""</f>
        <v/>
      </c>
      <c r="F1372" s="1" t="str">
        <f>""</f>
        <v/>
      </c>
      <c r="G1372" s="1" t="str">
        <f>""</f>
        <v/>
      </c>
      <c r="H1372" s="1" t="str">
        <f>""</f>
        <v/>
      </c>
      <c r="I1372" s="1" t="str">
        <f>""</f>
        <v/>
      </c>
      <c r="J1372" s="1" t="str">
        <f>""</f>
        <v/>
      </c>
      <c r="K1372" s="1" t="str">
        <f>""</f>
        <v/>
      </c>
      <c r="L1372" s="1" t="str">
        <f t="shared" si="451"/>
        <v>R</v>
      </c>
      <c r="M1372" s="1" t="str">
        <f>""</f>
        <v/>
      </c>
      <c r="N1372" s="1" t="str">
        <f t="shared" si="452"/>
        <v>Y</v>
      </c>
      <c r="O1372" s="1" t="str">
        <f t="shared" si="447"/>
        <v>Y</v>
      </c>
      <c r="P1372" s="1" t="str">
        <f t="shared" si="453"/>
        <v>Y</v>
      </c>
      <c r="Q1372" s="1" t="str">
        <f t="shared" si="448"/>
        <v>A</v>
      </c>
    </row>
    <row r="1373" spans="1:17" x14ac:dyDescent="0.3">
      <c r="A1373" s="1" t="str">
        <f t="shared" si="450"/>
        <v>JA</v>
      </c>
      <c r="B1373" s="1" t="str">
        <f>"EOSJA01"</f>
        <v>EOSJA01</v>
      </c>
      <c r="C1373" s="1" t="str">
        <f>"정상(호산구)"</f>
        <v>정상(호산구)</v>
      </c>
      <c r="D1373" s="1" t="str">
        <f>""</f>
        <v/>
      </c>
      <c r="E1373" s="1" t="str">
        <f>""</f>
        <v/>
      </c>
      <c r="F1373" s="1" t="str">
        <f>""</f>
        <v/>
      </c>
      <c r="G1373" s="1" t="str">
        <f>""</f>
        <v/>
      </c>
      <c r="H1373" s="1" t="str">
        <f>""</f>
        <v/>
      </c>
      <c r="I1373" s="1" t="str">
        <f>""</f>
        <v/>
      </c>
      <c r="J1373" s="1" t="str">
        <f>""</f>
        <v/>
      </c>
      <c r="K1373" s="1" t="str">
        <f>""</f>
        <v/>
      </c>
      <c r="L1373" s="1" t="str">
        <f t="shared" si="451"/>
        <v>R</v>
      </c>
      <c r="M1373" s="1" t="str">
        <f>""</f>
        <v/>
      </c>
      <c r="N1373" s="1" t="str">
        <f t="shared" si="452"/>
        <v>Y</v>
      </c>
      <c r="O1373" s="1" t="str">
        <f t="shared" si="447"/>
        <v>Y</v>
      </c>
      <c r="P1373" s="1" t="str">
        <f t="shared" si="453"/>
        <v>Y</v>
      </c>
      <c r="Q1373" s="1" t="str">
        <f t="shared" si="448"/>
        <v>A</v>
      </c>
    </row>
    <row r="1374" spans="1:17" x14ac:dyDescent="0.3">
      <c r="A1374" s="1" t="str">
        <f t="shared" si="450"/>
        <v>JA</v>
      </c>
      <c r="B1374" s="1" t="str">
        <f>"ESRJA01"</f>
        <v>ESRJA01</v>
      </c>
      <c r="C1374" s="1" t="str">
        <f>"정상(ESR)"</f>
        <v>정상(ESR)</v>
      </c>
      <c r="D1374" s="1" t="str">
        <f>""</f>
        <v/>
      </c>
      <c r="E1374" s="1" t="str">
        <f>""</f>
        <v/>
      </c>
      <c r="F1374" s="1" t="str">
        <f>""</f>
        <v/>
      </c>
      <c r="G1374" s="1" t="str">
        <f>""</f>
        <v/>
      </c>
      <c r="H1374" s="1" t="str">
        <f>""</f>
        <v/>
      </c>
      <c r="I1374" s="1" t="str">
        <f>""</f>
        <v/>
      </c>
      <c r="J1374" s="1" t="str">
        <f>""</f>
        <v/>
      </c>
      <c r="K1374" s="1" t="str">
        <f>""</f>
        <v/>
      </c>
      <c r="L1374" s="1" t="str">
        <f t="shared" si="451"/>
        <v>R</v>
      </c>
      <c r="M1374" s="1" t="str">
        <f>""</f>
        <v/>
      </c>
      <c r="N1374" s="1" t="str">
        <f t="shared" si="452"/>
        <v>Y</v>
      </c>
      <c r="O1374" s="1" t="str">
        <f t="shared" si="447"/>
        <v>Y</v>
      </c>
      <c r="P1374" s="1" t="str">
        <f t="shared" si="453"/>
        <v>Y</v>
      </c>
      <c r="Q1374" s="1" t="str">
        <f t="shared" si="448"/>
        <v>A</v>
      </c>
    </row>
    <row r="1375" spans="1:17" x14ac:dyDescent="0.3">
      <c r="A1375" s="1" t="str">
        <f t="shared" si="450"/>
        <v>JA</v>
      </c>
      <c r="B1375" s="1" t="str">
        <f>"FSHJA01"</f>
        <v>FSHJA01</v>
      </c>
      <c r="C1375" s="1" t="str">
        <f>"정상(FSH)"</f>
        <v>정상(FSH)</v>
      </c>
      <c r="D1375" s="1" t="str">
        <f>""</f>
        <v/>
      </c>
      <c r="E1375" s="1" t="str">
        <f>""</f>
        <v/>
      </c>
      <c r="F1375" s="1" t="str">
        <f>""</f>
        <v/>
      </c>
      <c r="G1375" s="1" t="str">
        <f>""</f>
        <v/>
      </c>
      <c r="H1375" s="1" t="str">
        <f>""</f>
        <v/>
      </c>
      <c r="I1375" s="1" t="str">
        <f>""</f>
        <v/>
      </c>
      <c r="J1375" s="1" t="str">
        <f>""</f>
        <v/>
      </c>
      <c r="K1375" s="1" t="str">
        <f>""</f>
        <v/>
      </c>
      <c r="L1375" s="1" t="str">
        <f t="shared" si="451"/>
        <v>R</v>
      </c>
      <c r="M1375" s="1" t="str">
        <f>""</f>
        <v/>
      </c>
      <c r="N1375" s="1" t="str">
        <f t="shared" si="452"/>
        <v>Y</v>
      </c>
      <c r="O1375" s="1" t="str">
        <f t="shared" si="447"/>
        <v>Y</v>
      </c>
      <c r="P1375" s="1" t="str">
        <f t="shared" si="453"/>
        <v>Y</v>
      </c>
      <c r="Q1375" s="1" t="str">
        <f t="shared" si="448"/>
        <v>A</v>
      </c>
    </row>
    <row r="1376" spans="1:17" x14ac:dyDescent="0.3">
      <c r="A1376" s="1" t="str">
        <f t="shared" si="450"/>
        <v>JA</v>
      </c>
      <c r="B1376" s="1" t="str">
        <f>"GAMJA01"</f>
        <v>GAMJA01</v>
      </c>
      <c r="C1376" s="1" t="str">
        <f>"정상(감마지티피)"</f>
        <v>정상(감마지티피)</v>
      </c>
      <c r="D1376" s="1" t="str">
        <f>""</f>
        <v/>
      </c>
      <c r="E1376" s="1" t="str">
        <f>"WOK01"</f>
        <v>WOK01</v>
      </c>
      <c r="F1376" s="1" t="str">
        <f>""</f>
        <v/>
      </c>
      <c r="G1376" s="1" t="str">
        <f>""</f>
        <v/>
      </c>
      <c r="H1376" s="1" t="str">
        <f>""</f>
        <v/>
      </c>
      <c r="I1376" s="1" t="str">
        <f>""</f>
        <v/>
      </c>
      <c r="J1376" s="1" t="str">
        <f>""</f>
        <v/>
      </c>
      <c r="K1376" s="1" t="str">
        <f>""</f>
        <v/>
      </c>
      <c r="L1376" s="1" t="str">
        <f t="shared" si="451"/>
        <v>R</v>
      </c>
      <c r="M1376" s="1" t="str">
        <f>""</f>
        <v/>
      </c>
      <c r="N1376" s="1" t="str">
        <f t="shared" si="452"/>
        <v>Y</v>
      </c>
      <c r="O1376" s="1" t="str">
        <f t="shared" si="447"/>
        <v>Y</v>
      </c>
      <c r="P1376" s="1" t="str">
        <f t="shared" si="453"/>
        <v>Y</v>
      </c>
      <c r="Q1376" s="1" t="str">
        <f t="shared" si="448"/>
        <v>A</v>
      </c>
    </row>
    <row r="1377" spans="1:17" x14ac:dyDescent="0.3">
      <c r="A1377" s="1" t="str">
        <f t="shared" si="450"/>
        <v>JA</v>
      </c>
      <c r="B1377" s="1" t="str">
        <f>"H4KJA01"</f>
        <v>H4KJA01</v>
      </c>
      <c r="C1377" s="1" t="str">
        <f>"정상(기도청력4K)"</f>
        <v>정상(기도청력4K)</v>
      </c>
      <c r="D1377" s="1" t="str">
        <f>""</f>
        <v/>
      </c>
      <c r="E1377" s="1" t="str">
        <f>""</f>
        <v/>
      </c>
      <c r="F1377" s="1" t="str">
        <f>""</f>
        <v/>
      </c>
      <c r="G1377" s="1" t="str">
        <f>""</f>
        <v/>
      </c>
      <c r="H1377" s="1" t="str">
        <f>""</f>
        <v/>
      </c>
      <c r="I1377" s="1" t="str">
        <f>""</f>
        <v/>
      </c>
      <c r="J1377" s="1" t="str">
        <f>""</f>
        <v/>
      </c>
      <c r="K1377" s="1" t="str">
        <f>""</f>
        <v/>
      </c>
      <c r="L1377" s="1" t="str">
        <f t="shared" si="451"/>
        <v>R</v>
      </c>
      <c r="M1377" s="1" t="str">
        <f>""</f>
        <v/>
      </c>
      <c r="N1377" s="1" t="str">
        <f t="shared" si="452"/>
        <v>Y</v>
      </c>
      <c r="O1377" s="1" t="str">
        <f t="shared" si="447"/>
        <v>Y</v>
      </c>
      <c r="P1377" s="1" t="str">
        <f t="shared" si="453"/>
        <v>Y</v>
      </c>
      <c r="Q1377" s="1" t="str">
        <f t="shared" si="448"/>
        <v>A</v>
      </c>
    </row>
    <row r="1378" spans="1:17" x14ac:dyDescent="0.3">
      <c r="A1378" s="1" t="str">
        <f t="shared" si="450"/>
        <v>JA</v>
      </c>
      <c r="B1378" s="1" t="str">
        <f>"HDLJA01"</f>
        <v>HDLJA01</v>
      </c>
      <c r="C1378" s="1" t="str">
        <f>"정상(HDL-콜레스테롤)"</f>
        <v>정상(HDL-콜레스테롤)</v>
      </c>
      <c r="D1378" s="1" t="str">
        <f>""</f>
        <v/>
      </c>
      <c r="E1378" s="1" t="str">
        <f>""</f>
        <v/>
      </c>
      <c r="F1378" s="1" t="str">
        <f>""</f>
        <v/>
      </c>
      <c r="G1378" s="1" t="str">
        <f>""</f>
        <v/>
      </c>
      <c r="H1378" s="1" t="str">
        <f>""</f>
        <v/>
      </c>
      <c r="I1378" s="1" t="str">
        <f>""</f>
        <v/>
      </c>
      <c r="J1378" s="1" t="str">
        <f>""</f>
        <v/>
      </c>
      <c r="K1378" s="1" t="str">
        <f>""</f>
        <v/>
      </c>
      <c r="L1378" s="1" t="str">
        <f t="shared" si="451"/>
        <v>R</v>
      </c>
      <c r="M1378" s="1" t="str">
        <f>""</f>
        <v/>
      </c>
      <c r="N1378" s="1" t="str">
        <f t="shared" si="452"/>
        <v>Y</v>
      </c>
      <c r="O1378" s="1" t="str">
        <f t="shared" si="447"/>
        <v>Y</v>
      </c>
      <c r="P1378" s="1" t="str">
        <f t="shared" si="453"/>
        <v>Y</v>
      </c>
      <c r="Q1378" s="1" t="str">
        <f t="shared" si="448"/>
        <v>A</v>
      </c>
    </row>
    <row r="1379" spans="1:17" x14ac:dyDescent="0.3">
      <c r="A1379" s="1" t="str">
        <f t="shared" si="450"/>
        <v>JA</v>
      </c>
      <c r="B1379" s="1" t="str">
        <f>"HEAJA01"</f>
        <v>HEAJA01</v>
      </c>
      <c r="C1379" s="1" t="str">
        <f>"정상(청력)"</f>
        <v>정상(청력)</v>
      </c>
      <c r="D1379" s="1" t="str">
        <f>""</f>
        <v/>
      </c>
      <c r="E1379" s="1" t="str">
        <f>""</f>
        <v/>
      </c>
      <c r="F1379" s="1" t="str">
        <f>""</f>
        <v/>
      </c>
      <c r="G1379" s="1" t="str">
        <f>""</f>
        <v/>
      </c>
      <c r="H1379" s="1" t="str">
        <f>""</f>
        <v/>
      </c>
      <c r="I1379" s="1" t="str">
        <f>""</f>
        <v/>
      </c>
      <c r="J1379" s="1" t="str">
        <f>""</f>
        <v/>
      </c>
      <c r="K1379" s="1" t="str">
        <f>""</f>
        <v/>
      </c>
      <c r="L1379" s="1" t="str">
        <f t="shared" si="451"/>
        <v>R</v>
      </c>
      <c r="M1379" s="1" t="str">
        <f>""</f>
        <v/>
      </c>
      <c r="N1379" s="1" t="str">
        <f t="shared" si="452"/>
        <v>Y</v>
      </c>
      <c r="O1379" s="1" t="str">
        <f t="shared" si="447"/>
        <v>Y</v>
      </c>
      <c r="P1379" s="1" t="str">
        <f t="shared" si="453"/>
        <v>Y</v>
      </c>
      <c r="Q1379" s="1" t="str">
        <f t="shared" si="448"/>
        <v>A</v>
      </c>
    </row>
    <row r="1380" spans="1:17" x14ac:dyDescent="0.3">
      <c r="A1380" s="1" t="str">
        <f t="shared" ref="A1380:A1415" si="454">"JA"</f>
        <v>JA</v>
      </c>
      <c r="B1380" s="1" t="str">
        <f>"HELJA01"</f>
        <v>HELJA01</v>
      </c>
      <c r="C1380" s="1" t="str">
        <f>"정상(헬리코박터Ab-lgG)"</f>
        <v>정상(헬리코박터Ab-lgG)</v>
      </c>
      <c r="D1380" s="1" t="str">
        <f>""</f>
        <v/>
      </c>
      <c r="E1380" s="1" t="str">
        <f>""</f>
        <v/>
      </c>
      <c r="F1380" s="1" t="str">
        <f>""</f>
        <v/>
      </c>
      <c r="G1380" s="1" t="str">
        <f>""</f>
        <v/>
      </c>
      <c r="H1380" s="1" t="str">
        <f>""</f>
        <v/>
      </c>
      <c r="I1380" s="1" t="str">
        <f>""</f>
        <v/>
      </c>
      <c r="J1380" s="1" t="str">
        <f>""</f>
        <v/>
      </c>
      <c r="K1380" s="1" t="str">
        <f>""</f>
        <v/>
      </c>
      <c r="L1380" s="1" t="str">
        <f t="shared" si="451"/>
        <v>R</v>
      </c>
      <c r="M1380" s="1" t="str">
        <f>""</f>
        <v/>
      </c>
      <c r="N1380" s="1" t="str">
        <f t="shared" si="452"/>
        <v>Y</v>
      </c>
      <c r="O1380" s="1" t="str">
        <f t="shared" si="447"/>
        <v>Y</v>
      </c>
      <c r="P1380" s="1" t="str">
        <f t="shared" si="453"/>
        <v>Y</v>
      </c>
      <c r="Q1380" s="1" t="str">
        <f t="shared" si="448"/>
        <v>A</v>
      </c>
    </row>
    <row r="1381" spans="1:17" x14ac:dyDescent="0.3">
      <c r="A1381" s="1" t="str">
        <f t="shared" si="454"/>
        <v>JA</v>
      </c>
      <c r="B1381" s="1" t="str">
        <f>"HEMJA01"</f>
        <v>HEMJA01</v>
      </c>
      <c r="C1381" s="1" t="str">
        <f>"정상(혈색소)"</f>
        <v>정상(혈색소)</v>
      </c>
      <c r="D1381" s="1" t="str">
        <f>""</f>
        <v/>
      </c>
      <c r="E1381" s="1" t="str">
        <f>"WOK01"</f>
        <v>WOK01</v>
      </c>
      <c r="F1381" s="1" t="str">
        <f>""</f>
        <v/>
      </c>
      <c r="G1381" s="1" t="str">
        <f>""</f>
        <v/>
      </c>
      <c r="H1381" s="1" t="str">
        <f>""</f>
        <v/>
      </c>
      <c r="I1381" s="1" t="str">
        <f>""</f>
        <v/>
      </c>
      <c r="J1381" s="1" t="str">
        <f>""</f>
        <v/>
      </c>
      <c r="K1381" s="1" t="str">
        <f>""</f>
        <v/>
      </c>
      <c r="L1381" s="1" t="str">
        <f t="shared" si="451"/>
        <v>R</v>
      </c>
      <c r="M1381" s="1" t="str">
        <f>""</f>
        <v/>
      </c>
      <c r="N1381" s="1" t="str">
        <f t="shared" si="452"/>
        <v>Y</v>
      </c>
      <c r="O1381" s="1" t="str">
        <f t="shared" si="447"/>
        <v>Y</v>
      </c>
      <c r="P1381" s="1" t="str">
        <f t="shared" si="453"/>
        <v>Y</v>
      </c>
      <c r="Q1381" s="1" t="str">
        <f t="shared" si="448"/>
        <v>A</v>
      </c>
    </row>
    <row r="1382" spans="1:17" x14ac:dyDescent="0.3">
      <c r="A1382" s="1" t="str">
        <f t="shared" si="454"/>
        <v>JA</v>
      </c>
      <c r="B1382" s="1" t="str">
        <f>"KALJA01"</f>
        <v>KALJA01</v>
      </c>
      <c r="C1382" s="1" t="str">
        <f>"정상(칼륨)"</f>
        <v>정상(칼륨)</v>
      </c>
      <c r="D1382" s="1" t="str">
        <f>""</f>
        <v/>
      </c>
      <c r="E1382" s="1" t="str">
        <f>""</f>
        <v/>
      </c>
      <c r="F1382" s="1" t="str">
        <f>""</f>
        <v/>
      </c>
      <c r="G1382" s="1" t="str">
        <f>""</f>
        <v/>
      </c>
      <c r="H1382" s="1" t="str">
        <f>""</f>
        <v/>
      </c>
      <c r="I1382" s="1" t="str">
        <f>""</f>
        <v/>
      </c>
      <c r="J1382" s="1" t="str">
        <f>""</f>
        <v/>
      </c>
      <c r="K1382" s="1" t="str">
        <f>""</f>
        <v/>
      </c>
      <c r="L1382" s="1" t="str">
        <f t="shared" si="451"/>
        <v>R</v>
      </c>
      <c r="M1382" s="1" t="str">
        <f>""</f>
        <v/>
      </c>
      <c r="N1382" s="1" t="str">
        <f t="shared" si="452"/>
        <v>Y</v>
      </c>
      <c r="O1382" s="1" t="str">
        <f t="shared" si="447"/>
        <v>Y</v>
      </c>
      <c r="P1382" s="1" t="str">
        <f t="shared" si="453"/>
        <v>Y</v>
      </c>
      <c r="Q1382" s="1" t="str">
        <f t="shared" si="448"/>
        <v>A</v>
      </c>
    </row>
    <row r="1383" spans="1:17" x14ac:dyDescent="0.3">
      <c r="A1383" s="1" t="str">
        <f t="shared" si="454"/>
        <v>JA</v>
      </c>
      <c r="B1383" s="1" t="str">
        <f>"LACJA01"</f>
        <v>LACJA01</v>
      </c>
      <c r="C1383" s="1" t="str">
        <f>"정상(유산탈수효소)"</f>
        <v>정상(유산탈수효소)</v>
      </c>
      <c r="D1383" s="1" t="str">
        <f>""</f>
        <v/>
      </c>
      <c r="E1383" s="1" t="str">
        <f>"WOK01"</f>
        <v>WOK01</v>
      </c>
      <c r="F1383" s="1" t="str">
        <f>""</f>
        <v/>
      </c>
      <c r="G1383" s="1" t="str">
        <f>""</f>
        <v/>
      </c>
      <c r="H1383" s="1" t="str">
        <f>""</f>
        <v/>
      </c>
      <c r="I1383" s="1" t="str">
        <f>""</f>
        <v/>
      </c>
      <c r="J1383" s="1" t="str">
        <f>""</f>
        <v/>
      </c>
      <c r="K1383" s="1" t="str">
        <f>""</f>
        <v/>
      </c>
      <c r="L1383" s="1" t="str">
        <f t="shared" si="451"/>
        <v>R</v>
      </c>
      <c r="M1383" s="1" t="str">
        <f>""</f>
        <v/>
      </c>
      <c r="N1383" s="1" t="str">
        <f t="shared" si="452"/>
        <v>Y</v>
      </c>
      <c r="O1383" s="1" t="str">
        <f t="shared" si="447"/>
        <v>Y</v>
      </c>
      <c r="P1383" s="1" t="str">
        <f t="shared" si="453"/>
        <v>Y</v>
      </c>
      <c r="Q1383" s="1" t="str">
        <f t="shared" si="448"/>
        <v>A</v>
      </c>
    </row>
    <row r="1384" spans="1:17" x14ac:dyDescent="0.3">
      <c r="A1384" s="1" t="str">
        <f t="shared" si="454"/>
        <v>JA</v>
      </c>
      <c r="B1384" s="1" t="str">
        <f>"LDLJA01"</f>
        <v>LDLJA01</v>
      </c>
      <c r="C1384" s="1" t="str">
        <f>"정상(LDL-콜레스테롤)"</f>
        <v>정상(LDL-콜레스테롤)</v>
      </c>
      <c r="D1384" s="1" t="str">
        <f>""</f>
        <v/>
      </c>
      <c r="E1384" s="1" t="str">
        <f>"WOK01"</f>
        <v>WOK01</v>
      </c>
      <c r="F1384" s="1" t="str">
        <f>""</f>
        <v/>
      </c>
      <c r="G1384" s="1" t="str">
        <f>""</f>
        <v/>
      </c>
      <c r="H1384" s="1" t="str">
        <f>""</f>
        <v/>
      </c>
      <c r="I1384" s="1" t="str">
        <f>""</f>
        <v/>
      </c>
      <c r="J1384" s="1" t="str">
        <f>""</f>
        <v/>
      </c>
      <c r="K1384" s="1" t="str">
        <f>""</f>
        <v/>
      </c>
      <c r="L1384" s="1" t="str">
        <f t="shared" si="451"/>
        <v>R</v>
      </c>
      <c r="M1384" s="1" t="str">
        <f>""</f>
        <v/>
      </c>
      <c r="N1384" s="1" t="str">
        <f t="shared" si="452"/>
        <v>Y</v>
      </c>
      <c r="O1384" s="1" t="str">
        <f t="shared" si="447"/>
        <v>Y</v>
      </c>
      <c r="P1384" s="1" t="str">
        <f t="shared" si="453"/>
        <v>Y</v>
      </c>
      <c r="Q1384" s="1" t="str">
        <f t="shared" si="448"/>
        <v>A</v>
      </c>
    </row>
    <row r="1385" spans="1:17" x14ac:dyDescent="0.3">
      <c r="A1385" s="1" t="str">
        <f t="shared" si="454"/>
        <v>JA</v>
      </c>
      <c r="B1385" s="1" t="str">
        <f>"MAMJA01"</f>
        <v>MAMJA01</v>
      </c>
      <c r="C1385" s="1" t="str">
        <f>"정상"</f>
        <v>정상</v>
      </c>
      <c r="D1385" s="1" t="str">
        <f>"유방촬영검사결과 정상입니다."</f>
        <v>유방촬영검사결과 정상입니다.</v>
      </c>
      <c r="E1385" s="1" t="str">
        <f>""</f>
        <v/>
      </c>
      <c r="F1385" s="1" t="str">
        <f>""</f>
        <v/>
      </c>
      <c r="G1385" s="1" t="str">
        <f>""</f>
        <v/>
      </c>
      <c r="H1385" s="1" t="str">
        <f>""</f>
        <v/>
      </c>
      <c r="I1385" s="1" t="str">
        <f>""</f>
        <v/>
      </c>
      <c r="J1385" s="1" t="str">
        <f>""</f>
        <v/>
      </c>
      <c r="K1385" s="1" t="str">
        <f>""</f>
        <v/>
      </c>
      <c r="L1385" s="1" t="str">
        <f t="shared" si="451"/>
        <v>R</v>
      </c>
      <c r="M1385" s="1" t="str">
        <f>""</f>
        <v/>
      </c>
      <c r="N1385" s="1" t="str">
        <f t="shared" si="452"/>
        <v>Y</v>
      </c>
      <c r="O1385" s="1" t="str">
        <f t="shared" si="447"/>
        <v>Y</v>
      </c>
      <c r="P1385" s="1" t="str">
        <f t="shared" si="453"/>
        <v>Y</v>
      </c>
      <c r="Q1385" s="1" t="str">
        <f t="shared" si="448"/>
        <v>A</v>
      </c>
    </row>
    <row r="1386" spans="1:17" x14ac:dyDescent="0.3">
      <c r="A1386" s="1" t="str">
        <f t="shared" si="454"/>
        <v>JA</v>
      </c>
      <c r="B1386" s="1" t="str">
        <f>"MEAIGG3"</f>
        <v>MEAIGG3</v>
      </c>
      <c r="C1386" s="1" t="str">
        <f>"홍역 항체 양성"</f>
        <v>홍역 항체 양성</v>
      </c>
      <c r="D1386" s="1" t="s">
        <v>414</v>
      </c>
      <c r="E1386" s="1" t="str">
        <f>""</f>
        <v/>
      </c>
      <c r="F1386" s="1" t="str">
        <f>""</f>
        <v/>
      </c>
      <c r="G1386" s="1" t="str">
        <f>""</f>
        <v/>
      </c>
      <c r="H1386" s="1" t="str">
        <f>""</f>
        <v/>
      </c>
      <c r="I1386" s="1" t="str">
        <f>""</f>
        <v/>
      </c>
      <c r="J1386" s="1" t="str">
        <f>""</f>
        <v/>
      </c>
      <c r="K1386" s="1" t="str">
        <f>""</f>
        <v/>
      </c>
      <c r="L1386" s="1" t="str">
        <f t="shared" si="451"/>
        <v>R</v>
      </c>
      <c r="M1386" s="1" t="str">
        <f>""</f>
        <v/>
      </c>
      <c r="N1386" s="1" t="str">
        <f t="shared" si="452"/>
        <v>Y</v>
      </c>
      <c r="O1386" s="1" t="str">
        <f t="shared" si="447"/>
        <v>Y</v>
      </c>
      <c r="P1386" s="1" t="str">
        <f t="shared" si="453"/>
        <v>Y</v>
      </c>
      <c r="Q1386" s="1" t="str">
        <f t="shared" si="448"/>
        <v>A</v>
      </c>
    </row>
    <row r="1387" spans="1:17" x14ac:dyDescent="0.3">
      <c r="A1387" s="1" t="str">
        <f t="shared" si="454"/>
        <v>JA</v>
      </c>
      <c r="B1387" s="1" t="str">
        <f>"NITJA01"</f>
        <v>NITJA01</v>
      </c>
      <c r="C1387" s="1" t="str">
        <f>"정상(뇨중 아질산염)"</f>
        <v>정상(뇨중 아질산염)</v>
      </c>
      <c r="D1387" s="1" t="str">
        <f>""</f>
        <v/>
      </c>
      <c r="E1387" s="1" t="str">
        <f>""</f>
        <v/>
      </c>
      <c r="F1387" s="1" t="str">
        <f>""</f>
        <v/>
      </c>
      <c r="G1387" s="1" t="str">
        <f>""</f>
        <v/>
      </c>
      <c r="H1387" s="1" t="str">
        <f>""</f>
        <v/>
      </c>
      <c r="I1387" s="1" t="str">
        <f>""</f>
        <v/>
      </c>
      <c r="J1387" s="1" t="str">
        <f>""</f>
        <v/>
      </c>
      <c r="K1387" s="1" t="str">
        <f>""</f>
        <v/>
      </c>
      <c r="L1387" s="1" t="str">
        <f t="shared" si="451"/>
        <v>R</v>
      </c>
      <c r="M1387" s="1" t="str">
        <f>""</f>
        <v/>
      </c>
      <c r="N1387" s="1" t="str">
        <f t="shared" si="452"/>
        <v>Y</v>
      </c>
      <c r="O1387" s="1" t="str">
        <f t="shared" si="447"/>
        <v>Y</v>
      </c>
      <c r="P1387" s="1" t="str">
        <f t="shared" si="453"/>
        <v>Y</v>
      </c>
      <c r="Q1387" s="1" t="str">
        <f t="shared" si="448"/>
        <v>A</v>
      </c>
    </row>
    <row r="1388" spans="1:17" x14ac:dyDescent="0.3">
      <c r="A1388" s="1" t="str">
        <f t="shared" si="454"/>
        <v>JA</v>
      </c>
      <c r="B1388" s="1" t="str">
        <f>"NSEJA01"</f>
        <v>NSEJA01</v>
      </c>
      <c r="C1388" s="1" t="str">
        <f>"정상(폐암표지자)"</f>
        <v>정상(폐암표지자)</v>
      </c>
      <c r="D1388" s="1" t="str">
        <f>""</f>
        <v/>
      </c>
      <c r="E1388" s="1" t="str">
        <f>""</f>
        <v/>
      </c>
      <c r="F1388" s="1" t="str">
        <f>""</f>
        <v/>
      </c>
      <c r="G1388" s="1" t="str">
        <f>""</f>
        <v/>
      </c>
      <c r="H1388" s="1" t="str">
        <f>""</f>
        <v/>
      </c>
      <c r="I1388" s="1" t="str">
        <f>""</f>
        <v/>
      </c>
      <c r="J1388" s="1" t="str">
        <f>""</f>
        <v/>
      </c>
      <c r="K1388" s="1" t="str">
        <f>""</f>
        <v/>
      </c>
      <c r="L1388" s="1" t="str">
        <f t="shared" si="451"/>
        <v>R</v>
      </c>
      <c r="M1388" s="1" t="str">
        <f>""</f>
        <v/>
      </c>
      <c r="N1388" s="1" t="str">
        <f t="shared" si="452"/>
        <v>Y</v>
      </c>
      <c r="O1388" s="1" t="str">
        <f t="shared" si="447"/>
        <v>Y</v>
      </c>
      <c r="P1388" s="1" t="str">
        <f t="shared" si="453"/>
        <v>Y</v>
      </c>
      <c r="Q1388" s="1" t="str">
        <f t="shared" si="448"/>
        <v>A</v>
      </c>
    </row>
    <row r="1389" spans="1:17" x14ac:dyDescent="0.3">
      <c r="A1389" s="1" t="str">
        <f t="shared" si="454"/>
        <v>JA</v>
      </c>
      <c r="B1389" s="1" t="str">
        <f>"OBEJA01"</f>
        <v>OBEJA01</v>
      </c>
      <c r="C1389" s="1" t="str">
        <f>"정상(비만도)"</f>
        <v>정상(비만도)</v>
      </c>
      <c r="D1389" s="1" t="str">
        <f>"정상체중입니다. 규칙적인 운동을 하시며 현재의 체중을 지속적으로 유지하시기 바랍니다."</f>
        <v>정상체중입니다. 규칙적인 운동을 하시며 현재의 체중을 지속적으로 유지하시기 바랍니다.</v>
      </c>
      <c r="E1389" s="1" t="str">
        <f>""</f>
        <v/>
      </c>
      <c r="F1389" s="1" t="str">
        <f>""</f>
        <v/>
      </c>
      <c r="G1389" s="1" t="str">
        <f>""</f>
        <v/>
      </c>
      <c r="H1389" s="1" t="str">
        <f>""</f>
        <v/>
      </c>
      <c r="I1389" s="1" t="str">
        <f>""</f>
        <v/>
      </c>
      <c r="J1389" s="1" t="str">
        <f>""</f>
        <v/>
      </c>
      <c r="K1389" s="1" t="str">
        <f>""</f>
        <v/>
      </c>
      <c r="L1389" s="1" t="str">
        <f t="shared" si="451"/>
        <v>R</v>
      </c>
      <c r="M1389" s="1" t="str">
        <f>""</f>
        <v/>
      </c>
      <c r="N1389" s="1" t="str">
        <f t="shared" si="452"/>
        <v>Y</v>
      </c>
      <c r="O1389" s="1" t="str">
        <f t="shared" si="447"/>
        <v>Y</v>
      </c>
      <c r="P1389" s="1" t="str">
        <f t="shared" si="453"/>
        <v>Y</v>
      </c>
      <c r="Q1389" s="1" t="str">
        <f t="shared" si="448"/>
        <v>A</v>
      </c>
    </row>
    <row r="1390" spans="1:17" x14ac:dyDescent="0.3">
      <c r="A1390" s="1" t="str">
        <f t="shared" si="454"/>
        <v>JA</v>
      </c>
      <c r="B1390" s="1" t="str">
        <f>"OBEJA02"</f>
        <v>OBEJA02</v>
      </c>
      <c r="C1390" s="1" t="str">
        <f>"저체중"</f>
        <v>저체중</v>
      </c>
      <c r="D1390" s="1" t="str">
        <f>"저체중입니다. 규칙적인 운동을 하시며 건강관리하시기 바랍니다."</f>
        <v>저체중입니다. 규칙적인 운동을 하시며 건강관리하시기 바랍니다.</v>
      </c>
      <c r="E1390" s="1" t="str">
        <f>"WOK01"</f>
        <v>WOK01</v>
      </c>
      <c r="F1390" s="1" t="str">
        <f>"PTM01"</f>
        <v>PTM01</v>
      </c>
      <c r="G1390" s="1" t="str">
        <f>"DISE"</f>
        <v>DISE</v>
      </c>
      <c r="H1390" s="1" t="str">
        <f>"REL10"</f>
        <v>REL10</v>
      </c>
      <c r="I1390" s="1" t="str">
        <f>""</f>
        <v/>
      </c>
      <c r="J1390" s="1" t="str">
        <f>""</f>
        <v/>
      </c>
      <c r="K1390" s="1" t="str">
        <f>""</f>
        <v/>
      </c>
      <c r="L1390" s="1" t="str">
        <f t="shared" si="451"/>
        <v>R</v>
      </c>
      <c r="M1390" s="1" t="str">
        <f>"T03"</f>
        <v>T03</v>
      </c>
      <c r="N1390" s="1" t="str">
        <f t="shared" si="452"/>
        <v>Y</v>
      </c>
      <c r="O1390" s="1" t="str">
        <f t="shared" si="447"/>
        <v>Y</v>
      </c>
      <c r="P1390" s="1" t="str">
        <f t="shared" si="453"/>
        <v>Y</v>
      </c>
      <c r="Q1390" s="1" t="str">
        <f t="shared" si="448"/>
        <v>A</v>
      </c>
    </row>
    <row r="1391" spans="1:17" x14ac:dyDescent="0.3">
      <c r="A1391" s="1" t="str">
        <f t="shared" si="454"/>
        <v>JA</v>
      </c>
      <c r="B1391" s="1" t="str">
        <f>"PHOJA01"</f>
        <v>PHOJA01</v>
      </c>
      <c r="C1391" s="1" t="str">
        <f>"정상(인)"</f>
        <v>정상(인)</v>
      </c>
      <c r="D1391" s="1" t="str">
        <f>""</f>
        <v/>
      </c>
      <c r="E1391" s="1" t="str">
        <f>""</f>
        <v/>
      </c>
      <c r="F1391" s="1" t="str">
        <f>""</f>
        <v/>
      </c>
      <c r="G1391" s="1" t="str">
        <f>""</f>
        <v/>
      </c>
      <c r="H1391" s="1" t="str">
        <f>""</f>
        <v/>
      </c>
      <c r="I1391" s="1" t="str">
        <f>""</f>
        <v/>
      </c>
      <c r="J1391" s="1" t="str">
        <f>""</f>
        <v/>
      </c>
      <c r="K1391" s="1" t="str">
        <f>""</f>
        <v/>
      </c>
      <c r="L1391" s="1" t="str">
        <f t="shared" si="451"/>
        <v>R</v>
      </c>
      <c r="M1391" s="1" t="str">
        <f>""</f>
        <v/>
      </c>
      <c r="N1391" s="1" t="str">
        <f t="shared" si="452"/>
        <v>Y</v>
      </c>
      <c r="O1391" s="1" t="str">
        <f t="shared" si="447"/>
        <v>Y</v>
      </c>
      <c r="P1391" s="1" t="str">
        <f t="shared" si="453"/>
        <v>Y</v>
      </c>
      <c r="Q1391" s="1" t="str">
        <f t="shared" si="448"/>
        <v>A</v>
      </c>
    </row>
    <row r="1392" spans="1:17" x14ac:dyDescent="0.3">
      <c r="A1392" s="1" t="str">
        <f t="shared" si="454"/>
        <v>JA</v>
      </c>
      <c r="B1392" s="1" t="str">
        <f>"PLAJA01"</f>
        <v>PLAJA01</v>
      </c>
      <c r="C1392" s="1" t="str">
        <f>"정상(혈소판수)"</f>
        <v>정상(혈소판수)</v>
      </c>
      <c r="D1392" s="1" t="str">
        <f>""</f>
        <v/>
      </c>
      <c r="E1392" s="1" t="str">
        <f>"WOK01"</f>
        <v>WOK01</v>
      </c>
      <c r="F1392" s="1" t="str">
        <f>""</f>
        <v/>
      </c>
      <c r="G1392" s="1" t="str">
        <f>""</f>
        <v/>
      </c>
      <c r="H1392" s="1" t="str">
        <f>""</f>
        <v/>
      </c>
      <c r="I1392" s="1" t="str">
        <f>""</f>
        <v/>
      </c>
      <c r="J1392" s="1" t="str">
        <f>""</f>
        <v/>
      </c>
      <c r="K1392" s="1" t="str">
        <f>""</f>
        <v/>
      </c>
      <c r="L1392" s="1" t="str">
        <f t="shared" si="451"/>
        <v>R</v>
      </c>
      <c r="M1392" s="1" t="str">
        <f>""</f>
        <v/>
      </c>
      <c r="N1392" s="1" t="str">
        <f t="shared" si="452"/>
        <v>Y</v>
      </c>
      <c r="O1392" s="1" t="str">
        <f t="shared" si="447"/>
        <v>Y</v>
      </c>
      <c r="P1392" s="1" t="str">
        <f t="shared" si="453"/>
        <v>Y</v>
      </c>
      <c r="Q1392" s="1" t="str">
        <f t="shared" si="448"/>
        <v>A</v>
      </c>
    </row>
    <row r="1393" spans="1:17" x14ac:dyDescent="0.3">
      <c r="A1393" s="1" t="str">
        <f t="shared" si="454"/>
        <v>JA</v>
      </c>
      <c r="B1393" s="1" t="str">
        <f>"PROJA01"</f>
        <v>PROJA01</v>
      </c>
      <c r="C1393" s="1" t="str">
        <f>"정상(총단백정량)"</f>
        <v>정상(총단백정량)</v>
      </c>
      <c r="D1393" s="1" t="str">
        <f>""</f>
        <v/>
      </c>
      <c r="E1393" s="1" t="str">
        <f>""</f>
        <v/>
      </c>
      <c r="F1393" s="1" t="str">
        <f>""</f>
        <v/>
      </c>
      <c r="G1393" s="1" t="str">
        <f>""</f>
        <v/>
      </c>
      <c r="H1393" s="1" t="str">
        <f>""</f>
        <v/>
      </c>
      <c r="I1393" s="1" t="str">
        <f>""</f>
        <v/>
      </c>
      <c r="J1393" s="1" t="str">
        <f>""</f>
        <v/>
      </c>
      <c r="K1393" s="1" t="str">
        <f>""</f>
        <v/>
      </c>
      <c r="L1393" s="1" t="str">
        <f t="shared" si="451"/>
        <v>R</v>
      </c>
      <c r="M1393" s="1" t="str">
        <f>""</f>
        <v/>
      </c>
      <c r="N1393" s="1" t="str">
        <f t="shared" si="452"/>
        <v>Y</v>
      </c>
      <c r="O1393" s="1" t="str">
        <f t="shared" si="447"/>
        <v>Y</v>
      </c>
      <c r="P1393" s="1" t="str">
        <f t="shared" si="453"/>
        <v>Y</v>
      </c>
      <c r="Q1393" s="1" t="str">
        <f t="shared" si="448"/>
        <v>A</v>
      </c>
    </row>
    <row r="1394" spans="1:17" x14ac:dyDescent="0.3">
      <c r="A1394" s="1" t="str">
        <f t="shared" si="454"/>
        <v>JA</v>
      </c>
      <c r="B1394" s="1" t="str">
        <f>"PSAJA01"</f>
        <v>PSAJA01</v>
      </c>
      <c r="C1394" s="1" t="str">
        <f>"정상(PSA)"</f>
        <v>정상(PSA)</v>
      </c>
      <c r="D1394" s="1" t="str">
        <f>""</f>
        <v/>
      </c>
      <c r="E1394" s="1" t="str">
        <f>""</f>
        <v/>
      </c>
      <c r="F1394" s="1" t="str">
        <f>""</f>
        <v/>
      </c>
      <c r="G1394" s="1" t="str">
        <f>""</f>
        <v/>
      </c>
      <c r="H1394" s="1" t="str">
        <f>""</f>
        <v/>
      </c>
      <c r="I1394" s="1" t="str">
        <f>""</f>
        <v/>
      </c>
      <c r="J1394" s="1" t="str">
        <f>""</f>
        <v/>
      </c>
      <c r="K1394" s="1" t="str">
        <f>""</f>
        <v/>
      </c>
      <c r="L1394" s="1" t="str">
        <f t="shared" si="451"/>
        <v>R</v>
      </c>
      <c r="M1394" s="1" t="str">
        <f>""</f>
        <v/>
      </c>
      <c r="N1394" s="1" t="str">
        <f t="shared" si="452"/>
        <v>Y</v>
      </c>
      <c r="O1394" s="1" t="str">
        <f t="shared" si="447"/>
        <v>Y</v>
      </c>
      <c r="P1394" s="1" t="str">
        <f t="shared" si="453"/>
        <v>Y</v>
      </c>
      <c r="Q1394" s="1" t="str">
        <f t="shared" si="448"/>
        <v>A</v>
      </c>
    </row>
    <row r="1395" spans="1:17" x14ac:dyDescent="0.3">
      <c r="A1395" s="1" t="str">
        <f t="shared" si="454"/>
        <v>JA</v>
      </c>
      <c r="B1395" s="1" t="str">
        <f>"RBCJA01"</f>
        <v>RBCJA01</v>
      </c>
      <c r="C1395" s="1" t="str">
        <f>"정상(적혈구수)"</f>
        <v>정상(적혈구수)</v>
      </c>
      <c r="D1395" s="1" t="str">
        <f>""</f>
        <v/>
      </c>
      <c r="E1395" s="1" t="str">
        <f>"WOK01"</f>
        <v>WOK01</v>
      </c>
      <c r="F1395" s="1" t="str">
        <f>""</f>
        <v/>
      </c>
      <c r="G1395" s="1" t="str">
        <f>""</f>
        <v/>
      </c>
      <c r="H1395" s="1" t="str">
        <f>""</f>
        <v/>
      </c>
      <c r="I1395" s="1" t="str">
        <f>""</f>
        <v/>
      </c>
      <c r="J1395" s="1" t="str">
        <f>""</f>
        <v/>
      </c>
      <c r="K1395" s="1" t="str">
        <f>""</f>
        <v/>
      </c>
      <c r="L1395" s="1" t="str">
        <f t="shared" si="451"/>
        <v>R</v>
      </c>
      <c r="M1395" s="1" t="str">
        <f>""</f>
        <v/>
      </c>
      <c r="N1395" s="1" t="str">
        <f t="shared" si="452"/>
        <v>Y</v>
      </c>
      <c r="O1395" s="1" t="str">
        <f t="shared" si="447"/>
        <v>Y</v>
      </c>
      <c r="P1395" s="1" t="str">
        <f t="shared" si="453"/>
        <v>Y</v>
      </c>
      <c r="Q1395" s="1" t="str">
        <f t="shared" si="448"/>
        <v>A</v>
      </c>
    </row>
    <row r="1396" spans="1:17" x14ac:dyDescent="0.3">
      <c r="A1396" s="1" t="str">
        <f t="shared" si="454"/>
        <v>JA</v>
      </c>
      <c r="B1396" s="1" t="str">
        <f>"RUBIGG3"</f>
        <v>RUBIGG3</v>
      </c>
      <c r="C1396" s="1" t="str">
        <f>"풍진 항체 양성"</f>
        <v>풍진 항체 양성</v>
      </c>
      <c r="D1396" s="1" t="s">
        <v>415</v>
      </c>
      <c r="E1396" s="1" t="str">
        <f>""</f>
        <v/>
      </c>
      <c r="F1396" s="1" t="str">
        <f>""</f>
        <v/>
      </c>
      <c r="G1396" s="1" t="str">
        <f>""</f>
        <v/>
      </c>
      <c r="H1396" s="1" t="str">
        <f>""</f>
        <v/>
      </c>
      <c r="I1396" s="1" t="str">
        <f>""</f>
        <v/>
      </c>
      <c r="J1396" s="1" t="str">
        <f>""</f>
        <v/>
      </c>
      <c r="K1396" s="1" t="str">
        <f>""</f>
        <v/>
      </c>
      <c r="L1396" s="1" t="str">
        <f t="shared" si="451"/>
        <v>R</v>
      </c>
      <c r="M1396" s="1" t="str">
        <f>""</f>
        <v/>
      </c>
      <c r="N1396" s="1" t="str">
        <f t="shared" si="452"/>
        <v>Y</v>
      </c>
      <c r="O1396" s="1" t="str">
        <f t="shared" si="447"/>
        <v>Y</v>
      </c>
      <c r="P1396" s="1" t="str">
        <f t="shared" si="453"/>
        <v>Y</v>
      </c>
      <c r="Q1396" s="1" t="str">
        <f t="shared" si="448"/>
        <v>A</v>
      </c>
    </row>
    <row r="1397" spans="1:17" x14ac:dyDescent="0.3">
      <c r="A1397" s="1" t="str">
        <f t="shared" si="454"/>
        <v>JA</v>
      </c>
      <c r="B1397" s="1" t="str">
        <f>"SODJA01"</f>
        <v>SODJA01</v>
      </c>
      <c r="C1397" s="1" t="str">
        <f>"정상(나트륨)"</f>
        <v>정상(나트륨)</v>
      </c>
      <c r="D1397" s="1" t="str">
        <f>""</f>
        <v/>
      </c>
      <c r="E1397" s="1" t="str">
        <f>""</f>
        <v/>
      </c>
      <c r="F1397" s="1" t="str">
        <f>""</f>
        <v/>
      </c>
      <c r="G1397" s="1" t="str">
        <f>""</f>
        <v/>
      </c>
      <c r="H1397" s="1" t="str">
        <f>""</f>
        <v/>
      </c>
      <c r="I1397" s="1" t="str">
        <f>""</f>
        <v/>
      </c>
      <c r="J1397" s="1" t="str">
        <f>""</f>
        <v/>
      </c>
      <c r="K1397" s="1" t="str">
        <f>""</f>
        <v/>
      </c>
      <c r="L1397" s="1" t="str">
        <f t="shared" si="451"/>
        <v>R</v>
      </c>
      <c r="M1397" s="1" t="str">
        <f>""</f>
        <v/>
      </c>
      <c r="N1397" s="1" t="str">
        <f t="shared" si="452"/>
        <v>Y</v>
      </c>
      <c r="O1397" s="1" t="str">
        <f t="shared" si="447"/>
        <v>Y</v>
      </c>
      <c r="P1397" s="1" t="str">
        <f t="shared" si="453"/>
        <v>Y</v>
      </c>
      <c r="Q1397" s="1" t="str">
        <f t="shared" si="448"/>
        <v>A</v>
      </c>
    </row>
    <row r="1398" spans="1:17" x14ac:dyDescent="0.3">
      <c r="A1398" s="1" t="str">
        <f t="shared" si="454"/>
        <v>JA</v>
      </c>
      <c r="B1398" s="1" t="str">
        <f>"SONJA01"</f>
        <v>SONJA01</v>
      </c>
      <c r="C1398" s="1" t="str">
        <f>"정상(초음파검사 이상소견 없음)"</f>
        <v>정상(초음파검사 이상소견 없음)</v>
      </c>
      <c r="D1398" s="1" t="s">
        <v>416</v>
      </c>
      <c r="E1398" s="1" t="str">
        <f>""</f>
        <v/>
      </c>
      <c r="F1398" s="1" t="str">
        <f>""</f>
        <v/>
      </c>
      <c r="G1398" s="1" t="str">
        <f>""</f>
        <v/>
      </c>
      <c r="H1398" s="1" t="str">
        <f>""</f>
        <v/>
      </c>
      <c r="I1398" s="1" t="str">
        <f>""</f>
        <v/>
      </c>
      <c r="J1398" s="1" t="str">
        <f>""</f>
        <v/>
      </c>
      <c r="K1398" s="1" t="str">
        <f>""</f>
        <v/>
      </c>
      <c r="L1398" s="1" t="str">
        <f t="shared" si="451"/>
        <v>R</v>
      </c>
      <c r="M1398" s="1" t="str">
        <f>""</f>
        <v/>
      </c>
      <c r="N1398" s="1" t="str">
        <f t="shared" si="452"/>
        <v>Y</v>
      </c>
      <c r="O1398" s="1" t="str">
        <f t="shared" si="447"/>
        <v>Y</v>
      </c>
      <c r="P1398" s="1" t="str">
        <f t="shared" si="453"/>
        <v>Y</v>
      </c>
      <c r="Q1398" s="1" t="str">
        <f t="shared" si="448"/>
        <v>A</v>
      </c>
    </row>
    <row r="1399" spans="1:17" x14ac:dyDescent="0.3">
      <c r="A1399" s="1" t="str">
        <f t="shared" si="454"/>
        <v>JA</v>
      </c>
      <c r="B1399" s="1" t="str">
        <f>"T3HJA01"</f>
        <v>T3HJA01</v>
      </c>
      <c r="C1399" s="1" t="str">
        <f>"정상(갑상선호르몬 T3)"</f>
        <v>정상(갑상선호르몬 T3)</v>
      </c>
      <c r="D1399" s="1" t="str">
        <f>""</f>
        <v/>
      </c>
      <c r="E1399" s="1" t="str">
        <f>""</f>
        <v/>
      </c>
      <c r="F1399" s="1" t="str">
        <f>""</f>
        <v/>
      </c>
      <c r="G1399" s="1" t="str">
        <f>""</f>
        <v/>
      </c>
      <c r="H1399" s="1" t="str">
        <f>""</f>
        <v/>
      </c>
      <c r="I1399" s="1" t="str">
        <f>""</f>
        <v/>
      </c>
      <c r="J1399" s="1" t="str">
        <f>""</f>
        <v/>
      </c>
      <c r="K1399" s="1" t="str">
        <f>""</f>
        <v/>
      </c>
      <c r="L1399" s="1" t="str">
        <f t="shared" si="451"/>
        <v>R</v>
      </c>
      <c r="M1399" s="1" t="str">
        <f>""</f>
        <v/>
      </c>
      <c r="N1399" s="1" t="str">
        <f t="shared" si="452"/>
        <v>Y</v>
      </c>
      <c r="O1399" s="1" t="str">
        <f t="shared" si="447"/>
        <v>Y</v>
      </c>
      <c r="P1399" s="1" t="str">
        <f t="shared" si="453"/>
        <v>Y</v>
      </c>
      <c r="Q1399" s="1" t="str">
        <f t="shared" si="448"/>
        <v>A</v>
      </c>
    </row>
    <row r="1400" spans="1:17" x14ac:dyDescent="0.3">
      <c r="A1400" s="1" t="str">
        <f t="shared" si="454"/>
        <v>JA</v>
      </c>
      <c r="B1400" s="1" t="str">
        <f>"T4HJA01"</f>
        <v>T4HJA01</v>
      </c>
      <c r="C1400" s="1" t="str">
        <f>"정상(감상선호르몬 T4)"</f>
        <v>정상(감상선호르몬 T4)</v>
      </c>
      <c r="D1400" s="1" t="str">
        <f>""</f>
        <v/>
      </c>
      <c r="E1400" s="1" t="str">
        <f>""</f>
        <v/>
      </c>
      <c r="F1400" s="1" t="str">
        <f>""</f>
        <v/>
      </c>
      <c r="G1400" s="1" t="str">
        <f>""</f>
        <v/>
      </c>
      <c r="H1400" s="1" t="str">
        <f>""</f>
        <v/>
      </c>
      <c r="I1400" s="1" t="str">
        <f>""</f>
        <v/>
      </c>
      <c r="J1400" s="1" t="str">
        <f>""</f>
        <v/>
      </c>
      <c r="K1400" s="1" t="str">
        <f>""</f>
        <v/>
      </c>
      <c r="L1400" s="1" t="str">
        <f t="shared" si="451"/>
        <v>R</v>
      </c>
      <c r="M1400" s="1" t="str">
        <f>""</f>
        <v/>
      </c>
      <c r="N1400" s="1" t="str">
        <f t="shared" si="452"/>
        <v>Y</v>
      </c>
      <c r="O1400" s="1" t="str">
        <f t="shared" si="447"/>
        <v>Y</v>
      </c>
      <c r="P1400" s="1" t="str">
        <f t="shared" si="453"/>
        <v>Y</v>
      </c>
      <c r="Q1400" s="1" t="str">
        <f t="shared" si="448"/>
        <v>A</v>
      </c>
    </row>
    <row r="1401" spans="1:17" x14ac:dyDescent="0.3">
      <c r="A1401" s="1" t="str">
        <f t="shared" si="454"/>
        <v>JA</v>
      </c>
      <c r="B1401" s="1" t="str">
        <f>"TBIJA01"</f>
        <v>TBIJA01</v>
      </c>
      <c r="C1401" s="1" t="str">
        <f>"정상(총빌리루빈)"</f>
        <v>정상(총빌리루빈)</v>
      </c>
      <c r="D1401" s="1" t="str">
        <f>""</f>
        <v/>
      </c>
      <c r="E1401" s="1" t="str">
        <f>""</f>
        <v/>
      </c>
      <c r="F1401" s="1" t="str">
        <f>""</f>
        <v/>
      </c>
      <c r="G1401" s="1" t="str">
        <f>""</f>
        <v/>
      </c>
      <c r="H1401" s="1" t="str">
        <f>""</f>
        <v/>
      </c>
      <c r="I1401" s="1" t="str">
        <f>""</f>
        <v/>
      </c>
      <c r="J1401" s="1" t="str">
        <f>""</f>
        <v/>
      </c>
      <c r="K1401" s="1" t="str">
        <f>""</f>
        <v/>
      </c>
      <c r="L1401" s="1" t="str">
        <f t="shared" si="451"/>
        <v>R</v>
      </c>
      <c r="M1401" s="1" t="str">
        <f>""</f>
        <v/>
      </c>
      <c r="N1401" s="1" t="str">
        <f t="shared" si="452"/>
        <v>Y</v>
      </c>
      <c r="O1401" s="1" t="str">
        <f t="shared" si="447"/>
        <v>Y</v>
      </c>
      <c r="P1401" s="1" t="str">
        <f t="shared" si="453"/>
        <v>Y</v>
      </c>
      <c r="Q1401" s="1" t="str">
        <f t="shared" si="448"/>
        <v>A</v>
      </c>
    </row>
    <row r="1402" spans="1:17" x14ac:dyDescent="0.3">
      <c r="A1402" s="1" t="str">
        <f t="shared" si="454"/>
        <v>JA</v>
      </c>
      <c r="B1402" s="1" t="str">
        <f>"THYJA01"</f>
        <v>THYJA01</v>
      </c>
      <c r="C1402" s="1" t="str">
        <f>"정상"</f>
        <v>정상</v>
      </c>
      <c r="D1402" s="1" t="str">
        <f>"갑상선 초음파 결과상 이상소견이 발견되지 않았습니다. 정기적인 갑상선초음파검사와 갑상선기능검사로 건강을 유지하시기 바랍니다."</f>
        <v>갑상선 초음파 결과상 이상소견이 발견되지 않았습니다. 정기적인 갑상선초음파검사와 갑상선기능검사로 건강을 유지하시기 바랍니다.</v>
      </c>
      <c r="E1402" s="1" t="str">
        <f>""</f>
        <v/>
      </c>
      <c r="F1402" s="1" t="str">
        <f>""</f>
        <v/>
      </c>
      <c r="G1402" s="1" t="str">
        <f>""</f>
        <v/>
      </c>
      <c r="H1402" s="1" t="str">
        <f>""</f>
        <v/>
      </c>
      <c r="I1402" s="1" t="str">
        <f>""</f>
        <v/>
      </c>
      <c r="J1402" s="1" t="str">
        <f>""</f>
        <v/>
      </c>
      <c r="K1402" s="1" t="str">
        <f>""</f>
        <v/>
      </c>
      <c r="L1402" s="1" t="str">
        <f t="shared" si="451"/>
        <v>R</v>
      </c>
      <c r="M1402" s="1" t="str">
        <f>""</f>
        <v/>
      </c>
      <c r="N1402" s="1" t="str">
        <f t="shared" si="452"/>
        <v>Y</v>
      </c>
      <c r="O1402" s="1" t="str">
        <f t="shared" ref="O1402:O1465" si="455">"Y"</f>
        <v>Y</v>
      </c>
      <c r="P1402" s="1" t="str">
        <f t="shared" si="453"/>
        <v>Y</v>
      </c>
      <c r="Q1402" s="1" t="str">
        <f t="shared" si="448"/>
        <v>A</v>
      </c>
    </row>
    <row r="1403" spans="1:17" x14ac:dyDescent="0.3">
      <c r="A1403" s="1" t="str">
        <f t="shared" si="454"/>
        <v>JA</v>
      </c>
      <c r="B1403" s="1" t="str">
        <f>"TRIJA01"</f>
        <v>TRIJA01</v>
      </c>
      <c r="C1403" s="1" t="str">
        <f>"정상(중성지방)"</f>
        <v>정상(중성지방)</v>
      </c>
      <c r="D1403" s="1" t="str">
        <f>""</f>
        <v/>
      </c>
      <c r="E1403" s="1" t="str">
        <f>"WOK01"</f>
        <v>WOK01</v>
      </c>
      <c r="F1403" s="1" t="str">
        <f>""</f>
        <v/>
      </c>
      <c r="G1403" s="1" t="str">
        <f>""</f>
        <v/>
      </c>
      <c r="H1403" s="1" t="str">
        <f>""</f>
        <v/>
      </c>
      <c r="I1403" s="1" t="str">
        <f>""</f>
        <v/>
      </c>
      <c r="J1403" s="1" t="str">
        <f>""</f>
        <v/>
      </c>
      <c r="K1403" s="1" t="str">
        <f>""</f>
        <v/>
      </c>
      <c r="L1403" s="1" t="str">
        <f t="shared" si="451"/>
        <v>R</v>
      </c>
      <c r="M1403" s="1" t="str">
        <f>""</f>
        <v/>
      </c>
      <c r="N1403" s="1" t="str">
        <f t="shared" si="452"/>
        <v>Y</v>
      </c>
      <c r="O1403" s="1" t="str">
        <f t="shared" si="455"/>
        <v>Y</v>
      </c>
      <c r="P1403" s="1" t="str">
        <f t="shared" si="453"/>
        <v>Y</v>
      </c>
      <c r="Q1403" s="1" t="str">
        <f t="shared" si="448"/>
        <v>A</v>
      </c>
    </row>
    <row r="1404" spans="1:17" x14ac:dyDescent="0.3">
      <c r="A1404" s="1" t="str">
        <f t="shared" si="454"/>
        <v>JA</v>
      </c>
      <c r="B1404" s="1" t="str">
        <f>"TSHJA01"</f>
        <v>TSHJA01</v>
      </c>
      <c r="C1404" s="1" t="str">
        <f>"정상(TSH)"</f>
        <v>정상(TSH)</v>
      </c>
      <c r="D1404" s="1" t="str">
        <f>""</f>
        <v/>
      </c>
      <c r="E1404" s="1" t="str">
        <f>""</f>
        <v/>
      </c>
      <c r="F1404" s="1" t="str">
        <f>""</f>
        <v/>
      </c>
      <c r="G1404" s="1" t="str">
        <f>""</f>
        <v/>
      </c>
      <c r="H1404" s="1" t="str">
        <f>""</f>
        <v/>
      </c>
      <c r="I1404" s="1" t="str">
        <f>""</f>
        <v/>
      </c>
      <c r="J1404" s="1" t="str">
        <f>""</f>
        <v/>
      </c>
      <c r="K1404" s="1" t="str">
        <f>""</f>
        <v/>
      </c>
      <c r="L1404" s="1" t="str">
        <f t="shared" si="451"/>
        <v>R</v>
      </c>
      <c r="M1404" s="1" t="str">
        <f>""</f>
        <v/>
      </c>
      <c r="N1404" s="1" t="str">
        <f t="shared" si="452"/>
        <v>Y</v>
      </c>
      <c r="O1404" s="1" t="str">
        <f t="shared" si="455"/>
        <v>Y</v>
      </c>
      <c r="P1404" s="1" t="str">
        <f t="shared" si="453"/>
        <v>Y</v>
      </c>
      <c r="Q1404" s="1" t="str">
        <f t="shared" ref="Q1404:Q1467" si="456">"A"</f>
        <v>A</v>
      </c>
    </row>
    <row r="1405" spans="1:17" x14ac:dyDescent="0.3">
      <c r="A1405" s="1" t="str">
        <f t="shared" si="454"/>
        <v>JA</v>
      </c>
      <c r="B1405" s="1" t="str">
        <f>"UABJA01"</f>
        <v>UABJA01</v>
      </c>
      <c r="C1405" s="1" t="str">
        <f>"정상(요잠혈)"</f>
        <v>정상(요잠혈)</v>
      </c>
      <c r="D1405" s="1" t="str">
        <f>""</f>
        <v/>
      </c>
      <c r="E1405" s="1" t="str">
        <f>"WOK01"</f>
        <v>WOK01</v>
      </c>
      <c r="F1405" s="1" t="str">
        <f>""</f>
        <v/>
      </c>
      <c r="G1405" s="1" t="str">
        <f>""</f>
        <v/>
      </c>
      <c r="H1405" s="1" t="str">
        <f>""</f>
        <v/>
      </c>
      <c r="I1405" s="1" t="str">
        <f>""</f>
        <v/>
      </c>
      <c r="J1405" s="1" t="str">
        <f>""</f>
        <v/>
      </c>
      <c r="K1405" s="1" t="str">
        <f>""</f>
        <v/>
      </c>
      <c r="L1405" s="1" t="str">
        <f t="shared" si="451"/>
        <v>R</v>
      </c>
      <c r="M1405" s="1" t="str">
        <f>""</f>
        <v/>
      </c>
      <c r="N1405" s="1" t="str">
        <f t="shared" si="452"/>
        <v>Y</v>
      </c>
      <c r="O1405" s="1" t="str">
        <f t="shared" si="455"/>
        <v>Y</v>
      </c>
      <c r="P1405" s="1" t="str">
        <f t="shared" si="453"/>
        <v>Y</v>
      </c>
      <c r="Q1405" s="1" t="str">
        <f t="shared" si="456"/>
        <v>A</v>
      </c>
    </row>
    <row r="1406" spans="1:17" x14ac:dyDescent="0.3">
      <c r="A1406" s="1" t="str">
        <f t="shared" si="454"/>
        <v>JA</v>
      </c>
      <c r="B1406" s="1" t="str">
        <f>"UAGJA01"</f>
        <v>UAGJA01</v>
      </c>
      <c r="C1406" s="1" t="str">
        <f>"정상(요당)"</f>
        <v>정상(요당)</v>
      </c>
      <c r="D1406" s="1" t="str">
        <f>""</f>
        <v/>
      </c>
      <c r="E1406" s="1" t="str">
        <f>""</f>
        <v/>
      </c>
      <c r="F1406" s="1" t="str">
        <f>""</f>
        <v/>
      </c>
      <c r="G1406" s="1" t="str">
        <f>""</f>
        <v/>
      </c>
      <c r="H1406" s="1" t="str">
        <f>""</f>
        <v/>
      </c>
      <c r="I1406" s="1" t="str">
        <f>""</f>
        <v/>
      </c>
      <c r="J1406" s="1" t="str">
        <f>""</f>
        <v/>
      </c>
      <c r="K1406" s="1" t="str">
        <f>""</f>
        <v/>
      </c>
      <c r="L1406" s="1" t="str">
        <f t="shared" si="451"/>
        <v>R</v>
      </c>
      <c r="M1406" s="1" t="str">
        <f>""</f>
        <v/>
      </c>
      <c r="N1406" s="1" t="str">
        <f t="shared" si="452"/>
        <v>Y</v>
      </c>
      <c r="O1406" s="1" t="str">
        <f t="shared" si="455"/>
        <v>Y</v>
      </c>
      <c r="P1406" s="1" t="str">
        <f t="shared" si="453"/>
        <v>Y</v>
      </c>
      <c r="Q1406" s="1" t="str">
        <f t="shared" si="456"/>
        <v>A</v>
      </c>
    </row>
    <row r="1407" spans="1:17" x14ac:dyDescent="0.3">
      <c r="A1407" s="1" t="str">
        <f t="shared" si="454"/>
        <v>JA</v>
      </c>
      <c r="B1407" s="1" t="str">
        <f>"UAPJA01"</f>
        <v>UAPJA01</v>
      </c>
      <c r="C1407" s="1" t="str">
        <f>"정상(요단백)"</f>
        <v>정상(요단백)</v>
      </c>
      <c r="D1407" s="1" t="str">
        <f>""</f>
        <v/>
      </c>
      <c r="E1407" s="1" t="str">
        <f>"WOK01"</f>
        <v>WOK01</v>
      </c>
      <c r="F1407" s="1" t="str">
        <f>""</f>
        <v/>
      </c>
      <c r="G1407" s="1" t="str">
        <f>""</f>
        <v/>
      </c>
      <c r="H1407" s="1" t="str">
        <f>""</f>
        <v/>
      </c>
      <c r="I1407" s="1" t="str">
        <f>""</f>
        <v/>
      </c>
      <c r="J1407" s="1" t="str">
        <f>""</f>
        <v/>
      </c>
      <c r="K1407" s="1" t="str">
        <f>""</f>
        <v/>
      </c>
      <c r="L1407" s="1" t="str">
        <f t="shared" si="451"/>
        <v>R</v>
      </c>
      <c r="M1407" s="1" t="str">
        <f>""</f>
        <v/>
      </c>
      <c r="N1407" s="1" t="str">
        <f t="shared" si="452"/>
        <v>Y</v>
      </c>
      <c r="O1407" s="1" t="str">
        <f t="shared" si="455"/>
        <v>Y</v>
      </c>
      <c r="P1407" s="1" t="str">
        <f t="shared" si="453"/>
        <v>Y</v>
      </c>
      <c r="Q1407" s="1" t="str">
        <f t="shared" si="456"/>
        <v>A</v>
      </c>
    </row>
    <row r="1408" spans="1:17" x14ac:dyDescent="0.3">
      <c r="A1408" s="1" t="str">
        <f t="shared" si="454"/>
        <v>JA</v>
      </c>
      <c r="B1408" s="1" t="str">
        <f>"UBIJA01"</f>
        <v>UBIJA01</v>
      </c>
      <c r="C1408" s="1" t="str">
        <f>"정상(뇨중 빌리루빈)"</f>
        <v>정상(뇨중 빌리루빈)</v>
      </c>
      <c r="D1408" s="1" t="str">
        <f>""</f>
        <v/>
      </c>
      <c r="E1408" s="1" t="str">
        <f>""</f>
        <v/>
      </c>
      <c r="F1408" s="1" t="str">
        <f>""</f>
        <v/>
      </c>
      <c r="G1408" s="1" t="str">
        <f>""</f>
        <v/>
      </c>
      <c r="H1408" s="1" t="str">
        <f>""</f>
        <v/>
      </c>
      <c r="I1408" s="1" t="str">
        <f>""</f>
        <v/>
      </c>
      <c r="J1408" s="1" t="str">
        <f>""</f>
        <v/>
      </c>
      <c r="K1408" s="1" t="str">
        <f>""</f>
        <v/>
      </c>
      <c r="L1408" s="1" t="str">
        <f t="shared" si="451"/>
        <v>R</v>
      </c>
      <c r="M1408" s="1" t="str">
        <f>""</f>
        <v/>
      </c>
      <c r="N1408" s="1" t="str">
        <f t="shared" si="452"/>
        <v>Y</v>
      </c>
      <c r="O1408" s="1" t="str">
        <f t="shared" si="455"/>
        <v>Y</v>
      </c>
      <c r="P1408" s="1" t="str">
        <f t="shared" si="453"/>
        <v>Y</v>
      </c>
      <c r="Q1408" s="1" t="str">
        <f t="shared" si="456"/>
        <v>A</v>
      </c>
    </row>
    <row r="1409" spans="1:17" x14ac:dyDescent="0.3">
      <c r="A1409" s="1" t="str">
        <f t="shared" si="454"/>
        <v>JA</v>
      </c>
      <c r="B1409" s="1" t="str">
        <f>"UKEJA01"</f>
        <v>UKEJA01</v>
      </c>
      <c r="C1409" s="1" t="str">
        <f>"정상(뇨중 케톤)"</f>
        <v>정상(뇨중 케톤)</v>
      </c>
      <c r="D1409" s="1" t="str">
        <f>""</f>
        <v/>
      </c>
      <c r="E1409" s="1" t="str">
        <f>""</f>
        <v/>
      </c>
      <c r="F1409" s="1" t="str">
        <f>""</f>
        <v/>
      </c>
      <c r="G1409" s="1" t="str">
        <f>""</f>
        <v/>
      </c>
      <c r="H1409" s="1" t="str">
        <f>""</f>
        <v/>
      </c>
      <c r="I1409" s="1" t="str">
        <f>""</f>
        <v/>
      </c>
      <c r="J1409" s="1" t="str">
        <f>""</f>
        <v/>
      </c>
      <c r="K1409" s="1" t="str">
        <f>""</f>
        <v/>
      </c>
      <c r="L1409" s="1" t="str">
        <f t="shared" si="451"/>
        <v>R</v>
      </c>
      <c r="M1409" s="1" t="str">
        <f>""</f>
        <v/>
      </c>
      <c r="N1409" s="1" t="str">
        <f t="shared" si="452"/>
        <v>Y</v>
      </c>
      <c r="O1409" s="1" t="str">
        <f t="shared" si="455"/>
        <v>Y</v>
      </c>
      <c r="P1409" s="1" t="str">
        <f t="shared" si="453"/>
        <v>Y</v>
      </c>
      <c r="Q1409" s="1" t="str">
        <f t="shared" si="456"/>
        <v>A</v>
      </c>
    </row>
    <row r="1410" spans="1:17" x14ac:dyDescent="0.3">
      <c r="A1410" s="1" t="str">
        <f t="shared" si="454"/>
        <v>JA</v>
      </c>
      <c r="B1410" s="1" t="str">
        <f>"URIJA01"</f>
        <v>URIJA01</v>
      </c>
      <c r="C1410" s="1" t="str">
        <f>"정상(요산)"</f>
        <v>정상(요산)</v>
      </c>
      <c r="D1410" s="1" t="str">
        <f>""</f>
        <v/>
      </c>
      <c r="E1410" s="1" t="str">
        <f>""</f>
        <v/>
      </c>
      <c r="F1410" s="1" t="str">
        <f>""</f>
        <v/>
      </c>
      <c r="G1410" s="1" t="str">
        <f>""</f>
        <v/>
      </c>
      <c r="H1410" s="1" t="str">
        <f>""</f>
        <v/>
      </c>
      <c r="I1410" s="1" t="str">
        <f>""</f>
        <v/>
      </c>
      <c r="J1410" s="1" t="str">
        <f>""</f>
        <v/>
      </c>
      <c r="K1410" s="1" t="str">
        <f>""</f>
        <v/>
      </c>
      <c r="L1410" s="1" t="str">
        <f t="shared" si="451"/>
        <v>R</v>
      </c>
      <c r="M1410" s="1" t="str">
        <f>""</f>
        <v/>
      </c>
      <c r="N1410" s="1" t="str">
        <f t="shared" si="452"/>
        <v>Y</v>
      </c>
      <c r="O1410" s="1" t="str">
        <f t="shared" si="455"/>
        <v>Y</v>
      </c>
      <c r="P1410" s="1" t="str">
        <f t="shared" si="453"/>
        <v>Y</v>
      </c>
      <c r="Q1410" s="1" t="str">
        <f t="shared" si="456"/>
        <v>A</v>
      </c>
    </row>
    <row r="1411" spans="1:17" x14ac:dyDescent="0.3">
      <c r="A1411" s="1" t="str">
        <f t="shared" si="454"/>
        <v>JA</v>
      </c>
      <c r="B1411" s="1" t="str">
        <f>"UROJA01"</f>
        <v>UROJA01</v>
      </c>
      <c r="C1411" s="1" t="str">
        <f>"정상(유로비리노젠)"</f>
        <v>정상(유로비리노젠)</v>
      </c>
      <c r="D1411" s="1" t="str">
        <f>""</f>
        <v/>
      </c>
      <c r="E1411" s="1" t="str">
        <f>""</f>
        <v/>
      </c>
      <c r="F1411" s="1" t="str">
        <f>""</f>
        <v/>
      </c>
      <c r="G1411" s="1" t="str">
        <f>""</f>
        <v/>
      </c>
      <c r="H1411" s="1" t="str">
        <f>""</f>
        <v/>
      </c>
      <c r="I1411" s="1" t="str">
        <f>""</f>
        <v/>
      </c>
      <c r="J1411" s="1" t="str">
        <f>""</f>
        <v/>
      </c>
      <c r="K1411" s="1" t="str">
        <f>""</f>
        <v/>
      </c>
      <c r="L1411" s="1" t="str">
        <f t="shared" si="451"/>
        <v>R</v>
      </c>
      <c r="M1411" s="1" t="str">
        <f>""</f>
        <v/>
      </c>
      <c r="N1411" s="1" t="str">
        <f t="shared" si="452"/>
        <v>Y</v>
      </c>
      <c r="O1411" s="1" t="str">
        <f t="shared" si="455"/>
        <v>Y</v>
      </c>
      <c r="P1411" s="1" t="str">
        <f t="shared" si="453"/>
        <v>Y</v>
      </c>
      <c r="Q1411" s="1" t="str">
        <f t="shared" si="456"/>
        <v>A</v>
      </c>
    </row>
    <row r="1412" spans="1:17" x14ac:dyDescent="0.3">
      <c r="A1412" s="1" t="str">
        <f t="shared" si="454"/>
        <v>JA</v>
      </c>
      <c r="B1412" s="1" t="str">
        <f>"USRJA01"</f>
        <v>USRJA01</v>
      </c>
      <c r="C1412" s="1" t="str">
        <f>"정상(요침사RBC)"</f>
        <v>정상(요침사RBC)</v>
      </c>
      <c r="D1412" s="1" t="str">
        <f>""</f>
        <v/>
      </c>
      <c r="E1412" s="1" t="str">
        <f>""</f>
        <v/>
      </c>
      <c r="F1412" s="1" t="str">
        <f>""</f>
        <v/>
      </c>
      <c r="G1412" s="1" t="str">
        <f>""</f>
        <v/>
      </c>
      <c r="H1412" s="1" t="str">
        <f>""</f>
        <v/>
      </c>
      <c r="I1412" s="1" t="str">
        <f>""</f>
        <v/>
      </c>
      <c r="J1412" s="1" t="str">
        <f>""</f>
        <v/>
      </c>
      <c r="K1412" s="1" t="str">
        <f>""</f>
        <v/>
      </c>
      <c r="L1412" s="1" t="str">
        <f t="shared" si="451"/>
        <v>R</v>
      </c>
      <c r="M1412" s="1" t="str">
        <f>""</f>
        <v/>
      </c>
      <c r="N1412" s="1" t="str">
        <f t="shared" si="452"/>
        <v>Y</v>
      </c>
      <c r="O1412" s="1" t="str">
        <f t="shared" si="455"/>
        <v>Y</v>
      </c>
      <c r="P1412" s="1" t="str">
        <f t="shared" si="453"/>
        <v>Y</v>
      </c>
      <c r="Q1412" s="1" t="str">
        <f t="shared" si="456"/>
        <v>A</v>
      </c>
    </row>
    <row r="1413" spans="1:17" x14ac:dyDescent="0.3">
      <c r="A1413" s="1" t="str">
        <f t="shared" si="454"/>
        <v>JA</v>
      </c>
      <c r="B1413" s="1" t="str">
        <f>"USWJA01"</f>
        <v>USWJA01</v>
      </c>
      <c r="C1413" s="1" t="str">
        <f>"정상(요침사WBC)"</f>
        <v>정상(요침사WBC)</v>
      </c>
      <c r="D1413" s="1" t="str">
        <f>""</f>
        <v/>
      </c>
      <c r="E1413" s="1" t="str">
        <f>""</f>
        <v/>
      </c>
      <c r="F1413" s="1" t="str">
        <f>""</f>
        <v/>
      </c>
      <c r="G1413" s="1" t="str">
        <f>""</f>
        <v/>
      </c>
      <c r="H1413" s="1" t="str">
        <f>""</f>
        <v/>
      </c>
      <c r="I1413" s="1" t="str">
        <f>""</f>
        <v/>
      </c>
      <c r="J1413" s="1" t="str">
        <f>""</f>
        <v/>
      </c>
      <c r="K1413" s="1" t="str">
        <f>""</f>
        <v/>
      </c>
      <c r="L1413" s="1" t="str">
        <f t="shared" ref="L1413:L1476" si="457">"R"</f>
        <v>R</v>
      </c>
      <c r="M1413" s="1" t="str">
        <f>""</f>
        <v/>
      </c>
      <c r="N1413" s="1" t="str">
        <f t="shared" ref="N1413:N1476" si="458">"Y"</f>
        <v>Y</v>
      </c>
      <c r="O1413" s="1" t="str">
        <f t="shared" si="455"/>
        <v>Y</v>
      </c>
      <c r="P1413" s="1" t="str">
        <f t="shared" si="453"/>
        <v>Y</v>
      </c>
      <c r="Q1413" s="1" t="str">
        <f t="shared" si="456"/>
        <v>A</v>
      </c>
    </row>
    <row r="1414" spans="1:17" x14ac:dyDescent="0.3">
      <c r="A1414" s="1" t="str">
        <f t="shared" si="454"/>
        <v>JA</v>
      </c>
      <c r="B1414" s="1" t="str">
        <f>"VZVIGG3"</f>
        <v>VZVIGG3</v>
      </c>
      <c r="C1414" s="1" t="str">
        <f>"수두 항체 양성"</f>
        <v>수두 항체 양성</v>
      </c>
      <c r="D1414" s="1" t="s">
        <v>38</v>
      </c>
      <c r="E1414" s="1" t="str">
        <f>""</f>
        <v/>
      </c>
      <c r="F1414" s="1" t="str">
        <f>""</f>
        <v/>
      </c>
      <c r="G1414" s="1" t="str">
        <f>""</f>
        <v/>
      </c>
      <c r="H1414" s="1" t="str">
        <f>""</f>
        <v/>
      </c>
      <c r="I1414" s="1" t="str">
        <f>""</f>
        <v/>
      </c>
      <c r="J1414" s="1" t="str">
        <f>""</f>
        <v/>
      </c>
      <c r="K1414" s="1" t="str">
        <f>""</f>
        <v/>
      </c>
      <c r="L1414" s="1" t="str">
        <f t="shared" si="457"/>
        <v>R</v>
      </c>
      <c r="M1414" s="1" t="str">
        <f>""</f>
        <v/>
      </c>
      <c r="N1414" s="1" t="str">
        <f t="shared" si="458"/>
        <v>Y</v>
      </c>
      <c r="O1414" s="1" t="str">
        <f t="shared" si="455"/>
        <v>Y</v>
      </c>
      <c r="P1414" s="1" t="str">
        <f t="shared" si="453"/>
        <v>Y</v>
      </c>
      <c r="Q1414" s="1" t="str">
        <f t="shared" si="456"/>
        <v>A</v>
      </c>
    </row>
    <row r="1415" spans="1:17" x14ac:dyDescent="0.3">
      <c r="A1415" s="1" t="str">
        <f t="shared" si="454"/>
        <v>JA</v>
      </c>
      <c r="B1415" s="1" t="str">
        <f>"WHIJA01"</f>
        <v>WHIJA01</v>
      </c>
      <c r="C1415" s="1" t="str">
        <f>"정상(백혈구수)"</f>
        <v>정상(백혈구수)</v>
      </c>
      <c r="D1415" s="1" t="str">
        <f>""</f>
        <v/>
      </c>
      <c r="E1415" s="1" t="str">
        <f>"WOK01"</f>
        <v>WOK01</v>
      </c>
      <c r="F1415" s="1" t="str">
        <f>""</f>
        <v/>
      </c>
      <c r="G1415" s="1" t="str">
        <f>""</f>
        <v/>
      </c>
      <c r="H1415" s="1" t="str">
        <f>""</f>
        <v/>
      </c>
      <c r="I1415" s="1" t="str">
        <f>""</f>
        <v/>
      </c>
      <c r="J1415" s="1" t="str">
        <f>""</f>
        <v/>
      </c>
      <c r="K1415" s="1" t="str">
        <f>""</f>
        <v/>
      </c>
      <c r="L1415" s="1" t="str">
        <f t="shared" si="457"/>
        <v>R</v>
      </c>
      <c r="M1415" s="1" t="str">
        <f>""</f>
        <v/>
      </c>
      <c r="N1415" s="1" t="str">
        <f t="shared" si="458"/>
        <v>Y</v>
      </c>
      <c r="O1415" s="1" t="str">
        <f t="shared" si="455"/>
        <v>Y</v>
      </c>
      <c r="P1415" s="1" t="str">
        <f t="shared" si="453"/>
        <v>Y</v>
      </c>
      <c r="Q1415" s="1" t="str">
        <f t="shared" si="456"/>
        <v>A</v>
      </c>
    </row>
    <row r="1416" spans="1:17" x14ac:dyDescent="0.3">
      <c r="A1416" s="1" t="str">
        <f t="shared" ref="A1416:A1447" si="459">"JB"</f>
        <v>JB</v>
      </c>
      <c r="B1416" s="1" t="str">
        <f>"ALBJB01"</f>
        <v>ALBJB01</v>
      </c>
      <c r="C1416" s="1" t="str">
        <f>"알부민감소"</f>
        <v>알부민감소</v>
      </c>
      <c r="D1416" s="1" t="str">
        <f>"혈액내 알부민 수치가 감소되어 있습니다. 내원상담바랍니다."</f>
        <v>혈액내 알부민 수치가 감소되어 있습니다. 내원상담바랍니다.</v>
      </c>
      <c r="E1416" s="1" t="str">
        <f>""</f>
        <v/>
      </c>
      <c r="F1416" s="1" t="str">
        <f>""</f>
        <v/>
      </c>
      <c r="G1416" s="1" t="str">
        <f>""</f>
        <v/>
      </c>
      <c r="H1416" s="1" t="str">
        <f>""</f>
        <v/>
      </c>
      <c r="I1416" s="1" t="str">
        <f>""</f>
        <v/>
      </c>
      <c r="J1416" s="1" t="str">
        <f>""</f>
        <v/>
      </c>
      <c r="K1416" s="1" t="str">
        <f>""</f>
        <v/>
      </c>
      <c r="L1416" s="1" t="str">
        <f t="shared" si="457"/>
        <v>R</v>
      </c>
      <c r="M1416" s="1" t="str">
        <f>""</f>
        <v/>
      </c>
      <c r="N1416" s="1" t="str">
        <f t="shared" si="458"/>
        <v>Y</v>
      </c>
      <c r="O1416" s="1" t="str">
        <f t="shared" si="455"/>
        <v>Y</v>
      </c>
      <c r="P1416" s="1" t="str">
        <f t="shared" si="453"/>
        <v>Y</v>
      </c>
      <c r="Q1416" s="1" t="str">
        <f t="shared" si="456"/>
        <v>A</v>
      </c>
    </row>
    <row r="1417" spans="1:17" x14ac:dyDescent="0.3">
      <c r="A1417" s="1" t="str">
        <f t="shared" si="459"/>
        <v>JB</v>
      </c>
      <c r="B1417" s="1" t="str">
        <f>"ALKJB01"</f>
        <v>ALKJB01</v>
      </c>
      <c r="C1417" s="1" t="str">
        <f>"혈중 알칼리성 포스파타제 상승"</f>
        <v>혈중 알칼리성 포스파타제 상승</v>
      </c>
      <c r="D1417" s="1" t="s">
        <v>417</v>
      </c>
      <c r="E1417" s="1" t="str">
        <f>""</f>
        <v/>
      </c>
      <c r="F1417" s="1" t="str">
        <f>""</f>
        <v/>
      </c>
      <c r="G1417" s="1" t="str">
        <f>""</f>
        <v/>
      </c>
      <c r="H1417" s="1" t="str">
        <f>""</f>
        <v/>
      </c>
      <c r="I1417" s="1" t="str">
        <f>""</f>
        <v/>
      </c>
      <c r="J1417" s="1" t="str">
        <f>""</f>
        <v/>
      </c>
      <c r="K1417" s="1" t="str">
        <f>""</f>
        <v/>
      </c>
      <c r="L1417" s="1" t="str">
        <f t="shared" si="457"/>
        <v>R</v>
      </c>
      <c r="M1417" s="1" t="str">
        <f>""</f>
        <v/>
      </c>
      <c r="N1417" s="1" t="str">
        <f t="shared" si="458"/>
        <v>Y</v>
      </c>
      <c r="O1417" s="1" t="str">
        <f t="shared" si="455"/>
        <v>Y</v>
      </c>
      <c r="P1417" s="1" t="str">
        <f t="shared" si="453"/>
        <v>Y</v>
      </c>
      <c r="Q1417" s="1" t="str">
        <f t="shared" si="456"/>
        <v>A</v>
      </c>
    </row>
    <row r="1418" spans="1:17" x14ac:dyDescent="0.3">
      <c r="A1418" s="1" t="str">
        <f t="shared" si="459"/>
        <v>JB</v>
      </c>
      <c r="B1418" s="1" t="str">
        <f>"BLTJB01"</f>
        <v>BLTJB01</v>
      </c>
      <c r="C1418" s="1" t="str">
        <f>"콜레스테롤상승"</f>
        <v>콜레스테롤상승</v>
      </c>
      <c r="D1418" s="1" t="s">
        <v>418</v>
      </c>
      <c r="E1418" s="1" t="str">
        <f>"WOK01"</f>
        <v>WOK01</v>
      </c>
      <c r="F1418" s="1" t="str">
        <f>""</f>
        <v/>
      </c>
      <c r="G1418" s="1" t="str">
        <f>"DISE"</f>
        <v>DISE</v>
      </c>
      <c r="H1418" s="1" t="str">
        <f>"REL04"</f>
        <v>REL04</v>
      </c>
      <c r="I1418" s="1" t="str">
        <f>""</f>
        <v/>
      </c>
      <c r="J1418" s="1" t="str">
        <f>""</f>
        <v/>
      </c>
      <c r="K1418" s="1" t="str">
        <f>""</f>
        <v/>
      </c>
      <c r="L1418" s="1" t="str">
        <f t="shared" si="457"/>
        <v>R</v>
      </c>
      <c r="M1418" s="1" t="str">
        <f>"T03"</f>
        <v>T03</v>
      </c>
      <c r="N1418" s="1" t="str">
        <f t="shared" si="458"/>
        <v>Y</v>
      </c>
      <c r="O1418" s="1" t="str">
        <f t="shared" si="455"/>
        <v>Y</v>
      </c>
      <c r="P1418" s="1" t="str">
        <f t="shared" ref="P1418:P1481" si="460">"Y"</f>
        <v>Y</v>
      </c>
      <c r="Q1418" s="1" t="str">
        <f t="shared" si="456"/>
        <v>A</v>
      </c>
    </row>
    <row r="1419" spans="1:17" x14ac:dyDescent="0.3">
      <c r="A1419" s="1" t="str">
        <f t="shared" si="459"/>
        <v>JB</v>
      </c>
      <c r="B1419" s="1" t="str">
        <f>"BPDJB01"</f>
        <v>BPDJB01</v>
      </c>
      <c r="C1419" s="1" t="str">
        <f>"고혈압 의심"</f>
        <v>고혈압 의심</v>
      </c>
      <c r="D1419" s="1" t="str">
        <f>"금번에 측정한 혈압이 높아 고혈압이 의심됩니다. 저염식이와 운동하시고 내원하시어 상담받으시기 바랍니다."</f>
        <v>금번에 측정한 혈압이 높아 고혈압이 의심됩니다. 저염식이와 운동하시고 내원하시어 상담받으시기 바랍니다.</v>
      </c>
      <c r="E1419" s="1" t="str">
        <f>"WOK01"</f>
        <v>WOK01</v>
      </c>
      <c r="F1419" s="1" t="str">
        <f>""</f>
        <v/>
      </c>
      <c r="G1419" s="1" t="str">
        <f>"DISI"</f>
        <v>DISI</v>
      </c>
      <c r="H1419" s="1" t="str">
        <f>"REL03"</f>
        <v>REL03</v>
      </c>
      <c r="I1419" s="1" t="str">
        <f>""</f>
        <v/>
      </c>
      <c r="J1419" s="1" t="str">
        <f>""</f>
        <v/>
      </c>
      <c r="K1419" s="1" t="str">
        <f>""</f>
        <v/>
      </c>
      <c r="L1419" s="1" t="str">
        <f t="shared" si="457"/>
        <v>R</v>
      </c>
      <c r="M1419" s="1" t="str">
        <f>"T03"</f>
        <v>T03</v>
      </c>
      <c r="N1419" s="1" t="str">
        <f t="shared" si="458"/>
        <v>Y</v>
      </c>
      <c r="O1419" s="1" t="str">
        <f t="shared" si="455"/>
        <v>Y</v>
      </c>
      <c r="P1419" s="1" t="str">
        <f t="shared" si="460"/>
        <v>Y</v>
      </c>
      <c r="Q1419" s="1" t="str">
        <f t="shared" si="456"/>
        <v>A</v>
      </c>
    </row>
    <row r="1420" spans="1:17" x14ac:dyDescent="0.3">
      <c r="A1420" s="1" t="str">
        <f t="shared" si="459"/>
        <v>JB</v>
      </c>
      <c r="B1420" s="1" t="str">
        <f>"BPSJB01"</f>
        <v>BPSJB01</v>
      </c>
      <c r="C1420" s="1" t="str">
        <f>"경계성 고혈압"</f>
        <v>경계성 고혈압</v>
      </c>
      <c r="D1420" s="1" t="str">
        <f>"경계역 고혈압입니다. 고혈압으로 발전할 가능성이 있으므로 식이요법과 운동을 권합니다."</f>
        <v>경계역 고혈압입니다. 고혈압으로 발전할 가능성이 있으므로 식이요법과 운동을 권합니다.</v>
      </c>
      <c r="E1420" s="1" t="str">
        <f>"WOK01"</f>
        <v>WOK01</v>
      </c>
      <c r="F1420" s="1" t="str">
        <f>""</f>
        <v/>
      </c>
      <c r="G1420" s="1" t="str">
        <f>"DISI"</f>
        <v>DISI</v>
      </c>
      <c r="H1420" s="1" t="str">
        <f>"REL03"</f>
        <v>REL03</v>
      </c>
      <c r="I1420" s="1" t="str">
        <f>""</f>
        <v/>
      </c>
      <c r="J1420" s="1" t="str">
        <f>""</f>
        <v/>
      </c>
      <c r="K1420" s="1" t="str">
        <f>""</f>
        <v/>
      </c>
      <c r="L1420" s="1" t="str">
        <f t="shared" si="457"/>
        <v>R</v>
      </c>
      <c r="M1420" s="1" t="str">
        <f>"T03"</f>
        <v>T03</v>
      </c>
      <c r="N1420" s="1" t="str">
        <f t="shared" si="458"/>
        <v>Y</v>
      </c>
      <c r="O1420" s="1" t="str">
        <f t="shared" si="455"/>
        <v>Y</v>
      </c>
      <c r="P1420" s="1" t="str">
        <f t="shared" si="460"/>
        <v>Y</v>
      </c>
      <c r="Q1420" s="1" t="str">
        <f t="shared" si="456"/>
        <v>A</v>
      </c>
    </row>
    <row r="1421" spans="1:17" x14ac:dyDescent="0.3">
      <c r="A1421" s="1" t="str">
        <f t="shared" si="459"/>
        <v>JB</v>
      </c>
      <c r="B1421" s="1" t="str">
        <f>"CERJB01"</f>
        <v>CERJB01</v>
      </c>
      <c r="C1421" s="1" t="str">
        <f>"염증동반양성세포변화"</f>
        <v>염증동반양성세포변화</v>
      </c>
      <c r="D1421" s="1" t="str">
        <f>"자궁경부 세포검사결과 염증을 동반한 양성세포변화 소견입니다. 산부인과 내원하시어 진료받으시고 정기적으로 자궁경부암검사 받으시기 바랍니다."</f>
        <v>자궁경부 세포검사결과 염증을 동반한 양성세포변화 소견입니다. 산부인과 내원하시어 진료받으시고 정기적으로 자궁경부암검사 받으시기 바랍니다.</v>
      </c>
      <c r="E1421" s="1" t="str">
        <f>""</f>
        <v/>
      </c>
      <c r="F1421" s="1" t="str">
        <f>""</f>
        <v/>
      </c>
      <c r="G1421" s="1" t="str">
        <f>""</f>
        <v/>
      </c>
      <c r="H1421" s="1" t="str">
        <f>""</f>
        <v/>
      </c>
      <c r="I1421" s="1" t="str">
        <f>""</f>
        <v/>
      </c>
      <c r="J1421" s="1" t="str">
        <f>""</f>
        <v/>
      </c>
      <c r="K1421" s="1" t="str">
        <f>""</f>
        <v/>
      </c>
      <c r="L1421" s="1" t="str">
        <f t="shared" si="457"/>
        <v>R</v>
      </c>
      <c r="M1421" s="1" t="str">
        <f>""</f>
        <v/>
      </c>
      <c r="N1421" s="1" t="str">
        <f t="shared" si="458"/>
        <v>Y</v>
      </c>
      <c r="O1421" s="1" t="str">
        <f t="shared" si="455"/>
        <v>Y</v>
      </c>
      <c r="P1421" s="1" t="str">
        <f t="shared" si="460"/>
        <v>Y</v>
      </c>
      <c r="Q1421" s="1" t="str">
        <f t="shared" si="456"/>
        <v>A</v>
      </c>
    </row>
    <row r="1422" spans="1:17" x14ac:dyDescent="0.3">
      <c r="A1422" s="1" t="str">
        <f t="shared" si="459"/>
        <v>JB</v>
      </c>
      <c r="B1422" s="1" t="str">
        <f>"CERJB02"</f>
        <v>CERJB02</v>
      </c>
      <c r="C1422" s="1" t="str">
        <f>"위축동반양성세포변화"</f>
        <v>위축동반양성세포변화</v>
      </c>
      <c r="D1422" s="1" t="str">
        <f>"자궁경부 세포검사결과 위축을 동반한 양성세포변화 소견입니다. 산부인과 내원하시어 진료받으시고 정기적으로 자궁경부암검사 받으시기 바랍니다."</f>
        <v>자궁경부 세포검사결과 위축을 동반한 양성세포변화 소견입니다. 산부인과 내원하시어 진료받으시고 정기적으로 자궁경부암검사 받으시기 바랍니다.</v>
      </c>
      <c r="E1422" s="1" t="str">
        <f>""</f>
        <v/>
      </c>
      <c r="F1422" s="1" t="str">
        <f>""</f>
        <v/>
      </c>
      <c r="G1422" s="1" t="str">
        <f>""</f>
        <v/>
      </c>
      <c r="H1422" s="1" t="str">
        <f>""</f>
        <v/>
      </c>
      <c r="I1422" s="1" t="str">
        <f>""</f>
        <v/>
      </c>
      <c r="J1422" s="1" t="str">
        <f>""</f>
        <v/>
      </c>
      <c r="K1422" s="1" t="str">
        <f>""</f>
        <v/>
      </c>
      <c r="L1422" s="1" t="str">
        <f t="shared" si="457"/>
        <v>R</v>
      </c>
      <c r="M1422" s="1" t="str">
        <f>""</f>
        <v/>
      </c>
      <c r="N1422" s="1" t="str">
        <f t="shared" si="458"/>
        <v>Y</v>
      </c>
      <c r="O1422" s="1" t="str">
        <f t="shared" si="455"/>
        <v>Y</v>
      </c>
      <c r="P1422" s="1" t="str">
        <f t="shared" si="460"/>
        <v>Y</v>
      </c>
      <c r="Q1422" s="1" t="str">
        <f t="shared" si="456"/>
        <v>A</v>
      </c>
    </row>
    <row r="1423" spans="1:17" x14ac:dyDescent="0.3">
      <c r="A1423" s="1" t="str">
        <f t="shared" si="459"/>
        <v>JB</v>
      </c>
      <c r="B1423" s="1" t="str">
        <f>"CERJB03"</f>
        <v>CERJB03</v>
      </c>
      <c r="C1423" s="1" t="str">
        <f>"칸디다감염"</f>
        <v>칸디다감염</v>
      </c>
      <c r="D1423" s="1" t="str">
        <f>"자궁경부 세포검사결과 칸디다 감염 소견입니다. 산부인과 내원하시어 치료받으시고 정기적으로 자궁경부암검사 받으시기 바랍니다."</f>
        <v>자궁경부 세포검사결과 칸디다 감염 소견입니다. 산부인과 내원하시어 치료받으시고 정기적으로 자궁경부암검사 받으시기 바랍니다.</v>
      </c>
      <c r="E1423" s="1" t="str">
        <f>""</f>
        <v/>
      </c>
      <c r="F1423" s="1" t="str">
        <f>""</f>
        <v/>
      </c>
      <c r="G1423" s="1" t="str">
        <f>""</f>
        <v/>
      </c>
      <c r="H1423" s="1" t="str">
        <f>""</f>
        <v/>
      </c>
      <c r="I1423" s="1" t="str">
        <f>""</f>
        <v/>
      </c>
      <c r="J1423" s="1" t="str">
        <f>""</f>
        <v/>
      </c>
      <c r="K1423" s="1" t="str">
        <f>""</f>
        <v/>
      </c>
      <c r="L1423" s="1" t="str">
        <f t="shared" si="457"/>
        <v>R</v>
      </c>
      <c r="M1423" s="1" t="str">
        <f>""</f>
        <v/>
      </c>
      <c r="N1423" s="1" t="str">
        <f t="shared" si="458"/>
        <v>Y</v>
      </c>
      <c r="O1423" s="1" t="str">
        <f t="shared" si="455"/>
        <v>Y</v>
      </c>
      <c r="P1423" s="1" t="str">
        <f t="shared" si="460"/>
        <v>Y</v>
      </c>
      <c r="Q1423" s="1" t="str">
        <f t="shared" si="456"/>
        <v>A</v>
      </c>
    </row>
    <row r="1424" spans="1:17" x14ac:dyDescent="0.3">
      <c r="A1424" s="1" t="str">
        <f t="shared" si="459"/>
        <v>JB</v>
      </c>
      <c r="B1424" s="1" t="str">
        <f>"CERJB04"</f>
        <v>CERJB04</v>
      </c>
      <c r="C1424" s="1" t="str">
        <f>"방선균감염"</f>
        <v>방선균감염</v>
      </c>
      <c r="D1424" s="1" t="str">
        <f>"자궁경부 세포검사결과 방선균 감염 소견입니다. 산부인과 내원하시어 치료받으시고 정기적으로 자궁경부암검사 받으시기 바랍니다."</f>
        <v>자궁경부 세포검사결과 방선균 감염 소견입니다. 산부인과 내원하시어 치료받으시고 정기적으로 자궁경부암검사 받으시기 바랍니다.</v>
      </c>
      <c r="E1424" s="1" t="str">
        <f>""</f>
        <v/>
      </c>
      <c r="F1424" s="1" t="str">
        <f>""</f>
        <v/>
      </c>
      <c r="G1424" s="1" t="str">
        <f>""</f>
        <v/>
      </c>
      <c r="H1424" s="1" t="str">
        <f>""</f>
        <v/>
      </c>
      <c r="I1424" s="1" t="str">
        <f>""</f>
        <v/>
      </c>
      <c r="J1424" s="1" t="str">
        <f>""</f>
        <v/>
      </c>
      <c r="K1424" s="1" t="str">
        <f>""</f>
        <v/>
      </c>
      <c r="L1424" s="1" t="str">
        <f t="shared" si="457"/>
        <v>R</v>
      </c>
      <c r="M1424" s="1" t="str">
        <f>""</f>
        <v/>
      </c>
      <c r="N1424" s="1" t="str">
        <f t="shared" si="458"/>
        <v>Y</v>
      </c>
      <c r="O1424" s="1" t="str">
        <f t="shared" si="455"/>
        <v>Y</v>
      </c>
      <c r="P1424" s="1" t="str">
        <f t="shared" si="460"/>
        <v>Y</v>
      </c>
      <c r="Q1424" s="1" t="str">
        <f t="shared" si="456"/>
        <v>A</v>
      </c>
    </row>
    <row r="1425" spans="1:17" x14ac:dyDescent="0.3">
      <c r="A1425" s="1" t="str">
        <f t="shared" si="459"/>
        <v>JB</v>
      </c>
      <c r="B1425" s="1" t="str">
        <f>"DENJB01"</f>
        <v>DENJB01</v>
      </c>
      <c r="C1425" s="1" t="str">
        <f>"치료를 계속"</f>
        <v>치료를 계속</v>
      </c>
      <c r="D1425" s="1" t="str">
        <f>"치과는 현재 치료받고 계시는 치아의 치료를 계속하시기 바랍니다."</f>
        <v>치과는 현재 치료받고 계시는 치아의 치료를 계속하시기 바랍니다.</v>
      </c>
      <c r="E1425" s="1" t="str">
        <f>""</f>
        <v/>
      </c>
      <c r="F1425" s="1" t="str">
        <f>""</f>
        <v/>
      </c>
      <c r="G1425" s="1" t="str">
        <f>""</f>
        <v/>
      </c>
      <c r="H1425" s="1" t="str">
        <f>""</f>
        <v/>
      </c>
      <c r="I1425" s="1" t="str">
        <f>""</f>
        <v/>
      </c>
      <c r="J1425" s="1" t="str">
        <f>""</f>
        <v/>
      </c>
      <c r="K1425" s="1" t="str">
        <f>""</f>
        <v/>
      </c>
      <c r="L1425" s="1" t="str">
        <f t="shared" si="457"/>
        <v>R</v>
      </c>
      <c r="M1425" s="1" t="str">
        <f>""</f>
        <v/>
      </c>
      <c r="N1425" s="1" t="str">
        <f t="shared" si="458"/>
        <v>Y</v>
      </c>
      <c r="O1425" s="1" t="str">
        <f t="shared" si="455"/>
        <v>Y</v>
      </c>
      <c r="P1425" s="1" t="str">
        <f t="shared" si="460"/>
        <v>Y</v>
      </c>
      <c r="Q1425" s="1" t="str">
        <f t="shared" si="456"/>
        <v>A</v>
      </c>
    </row>
    <row r="1426" spans="1:17" x14ac:dyDescent="0.3">
      <c r="A1426" s="1" t="str">
        <f t="shared" si="459"/>
        <v>JB</v>
      </c>
      <c r="B1426" s="1" t="str">
        <f>"ENDJB01"</f>
        <v>ENDJB01</v>
      </c>
      <c r="C1426" s="1" t="str">
        <f>"식도열공 헤르니아"</f>
        <v>식도열공 헤르니아</v>
      </c>
      <c r="D1426" s="1" t="s">
        <v>419</v>
      </c>
      <c r="E1426" s="1" t="str">
        <f>""</f>
        <v/>
      </c>
      <c r="F1426" s="1" t="str">
        <f>""</f>
        <v/>
      </c>
      <c r="G1426" s="1" t="str">
        <f>""</f>
        <v/>
      </c>
      <c r="H1426" s="1" t="str">
        <f>""</f>
        <v/>
      </c>
      <c r="I1426" s="1" t="str">
        <f>""</f>
        <v/>
      </c>
      <c r="J1426" s="1" t="str">
        <f>""</f>
        <v/>
      </c>
      <c r="K1426" s="1" t="str">
        <f>""</f>
        <v/>
      </c>
      <c r="L1426" s="1" t="str">
        <f t="shared" si="457"/>
        <v>R</v>
      </c>
      <c r="M1426" s="1" t="str">
        <f>""</f>
        <v/>
      </c>
      <c r="N1426" s="1" t="str">
        <f t="shared" si="458"/>
        <v>Y</v>
      </c>
      <c r="O1426" s="1" t="str">
        <f t="shared" si="455"/>
        <v>Y</v>
      </c>
      <c r="P1426" s="1" t="str">
        <f t="shared" si="460"/>
        <v>Y</v>
      </c>
      <c r="Q1426" s="1" t="str">
        <f t="shared" si="456"/>
        <v>A</v>
      </c>
    </row>
    <row r="1427" spans="1:17" x14ac:dyDescent="0.3">
      <c r="A1427" s="1" t="str">
        <f t="shared" si="459"/>
        <v>JB</v>
      </c>
      <c r="B1427" s="1" t="str">
        <f>"ENDJB02"</f>
        <v>ENDJB02</v>
      </c>
      <c r="C1427" s="1" t="str">
        <f>"십이지장 진입"</f>
        <v>십이지장 진입</v>
      </c>
      <c r="D1427" s="1" t="str">
        <f>"내시경검사시 위에서 십이지장으로 넘어가는 부위가 긴장되어 입구가 막힘으로 인해 내시경이 십이지장으로 진입하지를 못해 십이지장을 검사하지 못했습니다."</f>
        <v>내시경검사시 위에서 십이지장으로 넘어가는 부위가 긴장되어 입구가 막힘으로 인해 내시경이 십이지장으로 진입하지를 못해 십이지장을 검사하지 못했습니다.</v>
      </c>
      <c r="E1427" s="1" t="str">
        <f>""</f>
        <v/>
      </c>
      <c r="F1427" s="1" t="str">
        <f>""</f>
        <v/>
      </c>
      <c r="G1427" s="1" t="str">
        <f>""</f>
        <v/>
      </c>
      <c r="H1427" s="1" t="str">
        <f>""</f>
        <v/>
      </c>
      <c r="I1427" s="1" t="str">
        <f>""</f>
        <v/>
      </c>
      <c r="J1427" s="1" t="str">
        <f>""</f>
        <v/>
      </c>
      <c r="K1427" s="1" t="str">
        <f>""</f>
        <v/>
      </c>
      <c r="L1427" s="1" t="str">
        <f t="shared" si="457"/>
        <v>R</v>
      </c>
      <c r="M1427" s="1" t="str">
        <f>""</f>
        <v/>
      </c>
      <c r="N1427" s="1" t="str">
        <f t="shared" si="458"/>
        <v>Y</v>
      </c>
      <c r="O1427" s="1" t="str">
        <f t="shared" si="455"/>
        <v>Y</v>
      </c>
      <c r="P1427" s="1" t="str">
        <f t="shared" si="460"/>
        <v>Y</v>
      </c>
      <c r="Q1427" s="1" t="str">
        <f t="shared" si="456"/>
        <v>A</v>
      </c>
    </row>
    <row r="1428" spans="1:17" x14ac:dyDescent="0.3">
      <c r="A1428" s="1" t="str">
        <f t="shared" si="459"/>
        <v>JB</v>
      </c>
      <c r="B1428" s="1" t="str">
        <f>"EOSJB01"</f>
        <v>EOSJB01</v>
      </c>
      <c r="C1428" s="1" t="str">
        <f>"호산구 경미하게 증가"</f>
        <v>호산구 경미하게 증가</v>
      </c>
      <c r="D1428" s="1" t="s">
        <v>420</v>
      </c>
      <c r="E1428" s="1" t="str">
        <f>""</f>
        <v/>
      </c>
      <c r="F1428" s="1" t="str">
        <f>""</f>
        <v/>
      </c>
      <c r="G1428" s="1" t="str">
        <f>""</f>
        <v/>
      </c>
      <c r="H1428" s="1" t="str">
        <f>""</f>
        <v/>
      </c>
      <c r="I1428" s="1" t="str">
        <f>""</f>
        <v/>
      </c>
      <c r="J1428" s="1" t="str">
        <f>""</f>
        <v/>
      </c>
      <c r="K1428" s="1" t="str">
        <f>""</f>
        <v/>
      </c>
      <c r="L1428" s="1" t="str">
        <f t="shared" si="457"/>
        <v>R</v>
      </c>
      <c r="M1428" s="1" t="str">
        <f>""</f>
        <v/>
      </c>
      <c r="N1428" s="1" t="str">
        <f t="shared" si="458"/>
        <v>Y</v>
      </c>
      <c r="O1428" s="1" t="str">
        <f t="shared" si="455"/>
        <v>Y</v>
      </c>
      <c r="P1428" s="1" t="str">
        <f t="shared" si="460"/>
        <v>Y</v>
      </c>
      <c r="Q1428" s="1" t="str">
        <f t="shared" si="456"/>
        <v>A</v>
      </c>
    </row>
    <row r="1429" spans="1:17" x14ac:dyDescent="0.3">
      <c r="A1429" s="1" t="str">
        <f t="shared" si="459"/>
        <v>JB</v>
      </c>
      <c r="B1429" s="1" t="str">
        <f>"GAMJB01"</f>
        <v>GAMJB01</v>
      </c>
      <c r="C1429" s="1" t="str">
        <f>"간기능저하"</f>
        <v>간기능저하</v>
      </c>
      <c r="D1429" s="1" t="str">
        <f>"간기능검사에서 혈액내 감마 지티피(r-GTP)가 경미하게 증가하였습니다. 음주의 횟수 및 양을 줄이시고 식이조절 및 운동하시기 바랍니다."</f>
        <v>간기능검사에서 혈액내 감마 지티피(r-GTP)가 경미하게 증가하였습니다. 음주의 횟수 및 양을 줄이시고 식이조절 및 운동하시기 바랍니다.</v>
      </c>
      <c r="E1429" s="1" t="str">
        <f>"WOK01"</f>
        <v>WOK01</v>
      </c>
      <c r="F1429" s="1" t="str">
        <f>""</f>
        <v/>
      </c>
      <c r="G1429" s="1" t="str">
        <f>"DISK"</f>
        <v>DISK</v>
      </c>
      <c r="H1429" s="1" t="str">
        <f>"REL05"</f>
        <v>REL05</v>
      </c>
      <c r="I1429" s="1" t="str">
        <f>""</f>
        <v/>
      </c>
      <c r="J1429" s="1" t="str">
        <f>""</f>
        <v/>
      </c>
      <c r="K1429" s="1" t="str">
        <f>""</f>
        <v/>
      </c>
      <c r="L1429" s="1" t="str">
        <f t="shared" si="457"/>
        <v>R</v>
      </c>
      <c r="M1429" s="1" t="str">
        <f>"T02"</f>
        <v>T02</v>
      </c>
      <c r="N1429" s="1" t="str">
        <f t="shared" si="458"/>
        <v>Y</v>
      </c>
      <c r="O1429" s="1" t="str">
        <f t="shared" si="455"/>
        <v>Y</v>
      </c>
      <c r="P1429" s="1" t="str">
        <f t="shared" si="460"/>
        <v>Y</v>
      </c>
      <c r="Q1429" s="1" t="str">
        <f t="shared" si="456"/>
        <v>A</v>
      </c>
    </row>
    <row r="1430" spans="1:17" x14ac:dyDescent="0.3">
      <c r="A1430" s="1" t="str">
        <f t="shared" si="459"/>
        <v>JB</v>
      </c>
      <c r="B1430" s="1" t="str">
        <f>"GASJB01"</f>
        <v>GASJB01</v>
      </c>
      <c r="C1430" s="1" t="str">
        <f>"위염"</f>
        <v>위염</v>
      </c>
      <c r="D1430" s="1" t="s">
        <v>421</v>
      </c>
      <c r="E1430" s="1" t="str">
        <f>""</f>
        <v/>
      </c>
      <c r="F1430" s="1" t="str">
        <f>""</f>
        <v/>
      </c>
      <c r="G1430" s="1" t="str">
        <f>""</f>
        <v/>
      </c>
      <c r="H1430" s="1" t="str">
        <f>""</f>
        <v/>
      </c>
      <c r="I1430" s="1" t="str">
        <f>""</f>
        <v/>
      </c>
      <c r="J1430" s="1" t="str">
        <f>""</f>
        <v/>
      </c>
      <c r="K1430" s="1" t="str">
        <f>""</f>
        <v/>
      </c>
      <c r="L1430" s="1" t="str">
        <f t="shared" si="457"/>
        <v>R</v>
      </c>
      <c r="M1430" s="1" t="str">
        <f>""</f>
        <v/>
      </c>
      <c r="N1430" s="1" t="str">
        <f t="shared" si="458"/>
        <v>Y</v>
      </c>
      <c r="O1430" s="1" t="str">
        <f t="shared" si="455"/>
        <v>Y</v>
      </c>
      <c r="P1430" s="1" t="str">
        <f t="shared" si="460"/>
        <v>Y</v>
      </c>
      <c r="Q1430" s="1" t="str">
        <f t="shared" si="456"/>
        <v>A</v>
      </c>
    </row>
    <row r="1431" spans="1:17" x14ac:dyDescent="0.3">
      <c r="A1431" s="1" t="str">
        <f t="shared" si="459"/>
        <v>JB</v>
      </c>
      <c r="B1431" s="1" t="str">
        <f>"GASJB02"</f>
        <v>GASJB02</v>
      </c>
      <c r="C1431" s="1" t="str">
        <f>"식도게실"</f>
        <v>식도게실</v>
      </c>
      <c r="D1431" s="1" t="s">
        <v>422</v>
      </c>
      <c r="E1431" s="1" t="str">
        <f>""</f>
        <v/>
      </c>
      <c r="F1431" s="1" t="str">
        <f>""</f>
        <v/>
      </c>
      <c r="G1431" s="1" t="str">
        <f>""</f>
        <v/>
      </c>
      <c r="H1431" s="1" t="str">
        <f>""</f>
        <v/>
      </c>
      <c r="I1431" s="1" t="str">
        <f>""</f>
        <v/>
      </c>
      <c r="J1431" s="1" t="str">
        <f>""</f>
        <v/>
      </c>
      <c r="K1431" s="1" t="str">
        <f>""</f>
        <v/>
      </c>
      <c r="L1431" s="1" t="str">
        <f t="shared" si="457"/>
        <v>R</v>
      </c>
      <c r="M1431" s="1" t="str">
        <f>""</f>
        <v/>
      </c>
      <c r="N1431" s="1" t="str">
        <f t="shared" si="458"/>
        <v>Y</v>
      </c>
      <c r="O1431" s="1" t="str">
        <f t="shared" si="455"/>
        <v>Y</v>
      </c>
      <c r="P1431" s="1" t="str">
        <f t="shared" si="460"/>
        <v>Y</v>
      </c>
      <c r="Q1431" s="1" t="str">
        <f t="shared" si="456"/>
        <v>A</v>
      </c>
    </row>
    <row r="1432" spans="1:17" x14ac:dyDescent="0.3">
      <c r="A1432" s="1" t="str">
        <f t="shared" si="459"/>
        <v>JB</v>
      </c>
      <c r="B1432" s="1" t="str">
        <f>"GASJB03"</f>
        <v>GASJB03</v>
      </c>
      <c r="C1432" s="1" t="str">
        <f>"위궤양"</f>
        <v>위궤양</v>
      </c>
      <c r="D1432" s="1" t="str">
        <f>"위조영촬영술 검사에서 위궤양 소견이 보입니다. 치료를 위해 내원하시기 바랍니다."</f>
        <v>위조영촬영술 검사에서 위궤양 소견이 보입니다. 치료를 위해 내원하시기 바랍니다.</v>
      </c>
      <c r="E1432" s="1" t="str">
        <f>""</f>
        <v/>
      </c>
      <c r="F1432" s="1" t="str">
        <f>""</f>
        <v/>
      </c>
      <c r="G1432" s="1" t="str">
        <f>""</f>
        <v/>
      </c>
      <c r="H1432" s="1" t="str">
        <f>""</f>
        <v/>
      </c>
      <c r="I1432" s="1" t="str">
        <f>""</f>
        <v/>
      </c>
      <c r="J1432" s="1" t="str">
        <f>""</f>
        <v/>
      </c>
      <c r="K1432" s="1" t="str">
        <f>""</f>
        <v/>
      </c>
      <c r="L1432" s="1" t="str">
        <f t="shared" si="457"/>
        <v>R</v>
      </c>
      <c r="M1432" s="1" t="str">
        <f>""</f>
        <v/>
      </c>
      <c r="N1432" s="1" t="str">
        <f t="shared" si="458"/>
        <v>Y</v>
      </c>
      <c r="O1432" s="1" t="str">
        <f t="shared" si="455"/>
        <v>Y</v>
      </c>
      <c r="P1432" s="1" t="str">
        <f t="shared" si="460"/>
        <v>Y</v>
      </c>
      <c r="Q1432" s="1" t="str">
        <f t="shared" si="456"/>
        <v>A</v>
      </c>
    </row>
    <row r="1433" spans="1:17" x14ac:dyDescent="0.3">
      <c r="A1433" s="1" t="str">
        <f t="shared" si="459"/>
        <v>JB</v>
      </c>
      <c r="B1433" s="1" t="str">
        <f>"GASJB04"</f>
        <v>GASJB04</v>
      </c>
      <c r="C1433" s="1" t="str">
        <f>"십이지장게실"</f>
        <v>십이지장게실</v>
      </c>
      <c r="D1433" s="1" t="s">
        <v>423</v>
      </c>
      <c r="E1433" s="1" t="str">
        <f>""</f>
        <v/>
      </c>
      <c r="F1433" s="1" t="str">
        <f>""</f>
        <v/>
      </c>
      <c r="G1433" s="1" t="str">
        <f>""</f>
        <v/>
      </c>
      <c r="H1433" s="1" t="str">
        <f>""</f>
        <v/>
      </c>
      <c r="I1433" s="1" t="str">
        <f>""</f>
        <v/>
      </c>
      <c r="J1433" s="1" t="str">
        <f>""</f>
        <v/>
      </c>
      <c r="K1433" s="1" t="str">
        <f>""</f>
        <v/>
      </c>
      <c r="L1433" s="1" t="str">
        <f t="shared" si="457"/>
        <v>R</v>
      </c>
      <c r="M1433" s="1" t="str">
        <f>""</f>
        <v/>
      </c>
      <c r="N1433" s="1" t="str">
        <f t="shared" si="458"/>
        <v>Y</v>
      </c>
      <c r="O1433" s="1" t="str">
        <f t="shared" si="455"/>
        <v>Y</v>
      </c>
      <c r="P1433" s="1" t="str">
        <f t="shared" si="460"/>
        <v>Y</v>
      </c>
      <c r="Q1433" s="1" t="str">
        <f t="shared" si="456"/>
        <v>A</v>
      </c>
    </row>
    <row r="1434" spans="1:17" x14ac:dyDescent="0.3">
      <c r="A1434" s="1" t="str">
        <f t="shared" si="459"/>
        <v>JB</v>
      </c>
      <c r="B1434" s="1" t="str">
        <f>"GASJB05"</f>
        <v>GASJB05</v>
      </c>
      <c r="C1434" s="1" t="str">
        <f>"십이지장변형"</f>
        <v>십이지장변형</v>
      </c>
      <c r="D1434" s="1" t="s">
        <v>424</v>
      </c>
      <c r="E1434" s="1" t="str">
        <f>""</f>
        <v/>
      </c>
      <c r="F1434" s="1" t="str">
        <f>""</f>
        <v/>
      </c>
      <c r="G1434" s="1" t="str">
        <f>""</f>
        <v/>
      </c>
      <c r="H1434" s="1" t="str">
        <f>""</f>
        <v/>
      </c>
      <c r="I1434" s="1" t="str">
        <f>""</f>
        <v/>
      </c>
      <c r="J1434" s="1" t="str">
        <f>""</f>
        <v/>
      </c>
      <c r="K1434" s="1" t="str">
        <f>""</f>
        <v/>
      </c>
      <c r="L1434" s="1" t="str">
        <f t="shared" si="457"/>
        <v>R</v>
      </c>
      <c r="M1434" s="1" t="str">
        <f>""</f>
        <v/>
      </c>
      <c r="N1434" s="1" t="str">
        <f t="shared" si="458"/>
        <v>Y</v>
      </c>
      <c r="O1434" s="1" t="str">
        <f t="shared" si="455"/>
        <v>Y</v>
      </c>
      <c r="P1434" s="1" t="str">
        <f t="shared" si="460"/>
        <v>Y</v>
      </c>
      <c r="Q1434" s="1" t="str">
        <f t="shared" si="456"/>
        <v>A</v>
      </c>
    </row>
    <row r="1435" spans="1:17" x14ac:dyDescent="0.3">
      <c r="A1435" s="1" t="str">
        <f t="shared" si="459"/>
        <v>JB</v>
      </c>
      <c r="B1435" s="1" t="str">
        <f>"HELJB01"</f>
        <v>HELJB01</v>
      </c>
      <c r="C1435" s="1" t="str">
        <f>"헬리코박터 의심"</f>
        <v>헬리코박터 의심</v>
      </c>
      <c r="D1435" s="1" t="str">
        <f>"헬리코박터균(Helicobacter pylori) 혈액 검사 결과가 양성으로 나왔습니다. 헬리코박터균은 위염과 궤양의 원인이 되는 병원체입니다. 혈액검사에서 양성으로 나온 경우 헬리코박터균에 감염된 것을 의심할 수 있습니다."</f>
        <v>헬리코박터균(Helicobacter pylori) 혈액 검사 결과가 양성으로 나왔습니다. 헬리코박터균은 위염과 궤양의 원인이 되는 병원체입니다. 혈액검사에서 양성으로 나온 경우 헬리코박터균에 감염된 것을 의심할 수 있습니다.</v>
      </c>
      <c r="E1435" s="1" t="str">
        <f>""</f>
        <v/>
      </c>
      <c r="F1435" s="1" t="str">
        <f>""</f>
        <v/>
      </c>
      <c r="G1435" s="1" t="str">
        <f>""</f>
        <v/>
      </c>
      <c r="H1435" s="1" t="str">
        <f>""</f>
        <v/>
      </c>
      <c r="I1435" s="1" t="str">
        <f>""</f>
        <v/>
      </c>
      <c r="J1435" s="1" t="str">
        <f>""</f>
        <v/>
      </c>
      <c r="K1435" s="1" t="str">
        <f>""</f>
        <v/>
      </c>
      <c r="L1435" s="1" t="str">
        <f t="shared" si="457"/>
        <v>R</v>
      </c>
      <c r="M1435" s="1" t="str">
        <f>""</f>
        <v/>
      </c>
      <c r="N1435" s="1" t="str">
        <f t="shared" si="458"/>
        <v>Y</v>
      </c>
      <c r="O1435" s="1" t="str">
        <f t="shared" si="455"/>
        <v>Y</v>
      </c>
      <c r="P1435" s="1" t="str">
        <f t="shared" si="460"/>
        <v>Y</v>
      </c>
      <c r="Q1435" s="1" t="str">
        <f t="shared" si="456"/>
        <v>A</v>
      </c>
    </row>
    <row r="1436" spans="1:17" x14ac:dyDescent="0.3">
      <c r="A1436" s="1" t="str">
        <f t="shared" si="459"/>
        <v>JB</v>
      </c>
      <c r="B1436" s="1" t="str">
        <f>"HEMJB01"</f>
        <v>HEMJB01</v>
      </c>
      <c r="C1436" s="1" t="str">
        <f>"경미한빈혈"</f>
        <v>경미한빈혈</v>
      </c>
      <c r="D1436" s="1" t="str">
        <f>"혈액검사상 경미한 빈혈(혈색소수치가 정상범위보다 감소한 상태)이 있습니다. 영양섭취를 고르게 하시고 추적관찰을 위해 3개월이내에 다시 검사를 받아보시기 바랍니다."</f>
        <v>혈액검사상 경미한 빈혈(혈색소수치가 정상범위보다 감소한 상태)이 있습니다. 영양섭취를 고르게 하시고 추적관찰을 위해 3개월이내에 다시 검사를 받아보시기 바랍니다.</v>
      </c>
      <c r="E1436" s="1" t="str">
        <f>"WOK01"</f>
        <v>WOK01</v>
      </c>
      <c r="F1436" s="1" t="str">
        <f>""</f>
        <v/>
      </c>
      <c r="G1436" s="1" t="str">
        <f>"DISD"</f>
        <v>DISD</v>
      </c>
      <c r="H1436" s="1" t="str">
        <f>"REL12"</f>
        <v>REL12</v>
      </c>
      <c r="I1436" s="1" t="str">
        <f>""</f>
        <v/>
      </c>
      <c r="J1436" s="1" t="str">
        <f>""</f>
        <v/>
      </c>
      <c r="K1436" s="1" t="str">
        <f>""</f>
        <v/>
      </c>
      <c r="L1436" s="1" t="str">
        <f t="shared" si="457"/>
        <v>R</v>
      </c>
      <c r="M1436" s="1" t="str">
        <f>"T01"</f>
        <v>T01</v>
      </c>
      <c r="N1436" s="1" t="str">
        <f t="shared" si="458"/>
        <v>Y</v>
      </c>
      <c r="O1436" s="1" t="str">
        <f t="shared" si="455"/>
        <v>Y</v>
      </c>
      <c r="P1436" s="1" t="str">
        <f t="shared" si="460"/>
        <v>Y</v>
      </c>
      <c r="Q1436" s="1" t="str">
        <f t="shared" si="456"/>
        <v>A</v>
      </c>
    </row>
    <row r="1437" spans="1:17" x14ac:dyDescent="0.3">
      <c r="A1437" s="1" t="str">
        <f t="shared" si="459"/>
        <v>JB</v>
      </c>
      <c r="B1437" s="1" t="str">
        <f>"LTS693"</f>
        <v>LTS693</v>
      </c>
      <c r="C1437" s="1" t="str">
        <f>"비만관리"</f>
        <v>비만관리</v>
      </c>
      <c r="D1437" s="1" t="str">
        <f>"비만은 각종 성인병의 가장 큰 요인으로서  과음을 피하시고 규칙적인 운동 및 식생활습관 변화가 필요합니다."</f>
        <v>비만은 각종 성인병의 가장 큰 요인으로서  과음을 피하시고 규칙적인 운동 및 식생활습관 변화가 필요합니다.</v>
      </c>
      <c r="E1437" s="1" t="str">
        <f>"WOK01"</f>
        <v>WOK01</v>
      </c>
      <c r="F1437" s="1" t="str">
        <f>"PTM01"</f>
        <v>PTM01</v>
      </c>
      <c r="G1437" s="1" t="str">
        <f>"DISE"</f>
        <v>DISE</v>
      </c>
      <c r="H1437" s="1" t="str">
        <f>"REL10"</f>
        <v>REL10</v>
      </c>
      <c r="I1437" s="1" t="str">
        <f>""</f>
        <v/>
      </c>
      <c r="J1437" s="1" t="str">
        <f>"C35A"</f>
        <v>C35A</v>
      </c>
      <c r="K1437" s="1" t="str">
        <f>"C35A"</f>
        <v>C35A</v>
      </c>
      <c r="L1437" s="1" t="str">
        <f t="shared" si="457"/>
        <v>R</v>
      </c>
      <c r="M1437" s="1" t="str">
        <f>"T03"</f>
        <v>T03</v>
      </c>
      <c r="N1437" s="1" t="str">
        <f t="shared" si="458"/>
        <v>Y</v>
      </c>
      <c r="O1437" s="1" t="str">
        <f t="shared" si="455"/>
        <v>Y</v>
      </c>
      <c r="P1437" s="1" t="str">
        <f t="shared" si="460"/>
        <v>Y</v>
      </c>
      <c r="Q1437" s="1" t="str">
        <f t="shared" si="456"/>
        <v>A</v>
      </c>
    </row>
    <row r="1438" spans="1:17" x14ac:dyDescent="0.3">
      <c r="A1438" s="1" t="str">
        <f t="shared" si="459"/>
        <v>JB</v>
      </c>
      <c r="B1438" s="1" t="str">
        <f>"MAMJB01"</f>
        <v>MAMJB01</v>
      </c>
      <c r="C1438" s="1" t="str">
        <f>"섬유낭종성유방"</f>
        <v>섬유낭종성유방</v>
      </c>
      <c r="D1438" s="1" t="str">
        <f>"유방촬영검사결과 섬유낭종성 유방 소견입니다. 내원하시어 상담받으시고 추가적인 검사를 받으시기 바랍니다."</f>
        <v>유방촬영검사결과 섬유낭종성 유방 소견입니다. 내원하시어 상담받으시고 추가적인 검사를 받으시기 바랍니다.</v>
      </c>
      <c r="E1438" s="1" t="str">
        <f>""</f>
        <v/>
      </c>
      <c r="F1438" s="1" t="str">
        <f>""</f>
        <v/>
      </c>
      <c r="G1438" s="1" t="str">
        <f>""</f>
        <v/>
      </c>
      <c r="H1438" s="1" t="str">
        <f>""</f>
        <v/>
      </c>
      <c r="I1438" s="1" t="str">
        <f>""</f>
        <v/>
      </c>
      <c r="J1438" s="1" t="str">
        <f>""</f>
        <v/>
      </c>
      <c r="K1438" s="1" t="str">
        <f>""</f>
        <v/>
      </c>
      <c r="L1438" s="1" t="str">
        <f t="shared" si="457"/>
        <v>R</v>
      </c>
      <c r="M1438" s="1" t="str">
        <f>""</f>
        <v/>
      </c>
      <c r="N1438" s="1" t="str">
        <f t="shared" si="458"/>
        <v>Y</v>
      </c>
      <c r="O1438" s="1" t="str">
        <f t="shared" si="455"/>
        <v>Y</v>
      </c>
      <c r="P1438" s="1" t="str">
        <f t="shared" si="460"/>
        <v>Y</v>
      </c>
      <c r="Q1438" s="1" t="str">
        <f t="shared" si="456"/>
        <v>A</v>
      </c>
    </row>
    <row r="1439" spans="1:17" x14ac:dyDescent="0.3">
      <c r="A1439" s="1" t="str">
        <f t="shared" si="459"/>
        <v>JB</v>
      </c>
      <c r="B1439" s="1" t="str">
        <f>"MAMJB02"</f>
        <v>MAMJB02</v>
      </c>
      <c r="C1439" s="1" t="str">
        <f>"치밀유방"</f>
        <v>치밀유방</v>
      </c>
      <c r="D1439" s="1" t="str">
        <f>"유방 음영이 치밀해 치밀한 조직아래 병변이 있을 경우 발견되지 않을 수 있습니다. 정확한 진단을 위해 유방초음파검사를 받으시기 권합니다."</f>
        <v>유방 음영이 치밀해 치밀한 조직아래 병변이 있을 경우 발견되지 않을 수 있습니다. 정확한 진단을 위해 유방초음파검사를 받으시기 권합니다.</v>
      </c>
      <c r="E1439" s="1" t="str">
        <f>""</f>
        <v/>
      </c>
      <c r="F1439" s="1" t="str">
        <f>""</f>
        <v/>
      </c>
      <c r="G1439" s="1" t="str">
        <f>""</f>
        <v/>
      </c>
      <c r="H1439" s="1" t="str">
        <f>""</f>
        <v/>
      </c>
      <c r="I1439" s="1" t="str">
        <f>""</f>
        <v/>
      </c>
      <c r="J1439" s="1" t="str">
        <f>""</f>
        <v/>
      </c>
      <c r="K1439" s="1" t="str">
        <f>""</f>
        <v/>
      </c>
      <c r="L1439" s="1" t="str">
        <f t="shared" si="457"/>
        <v>R</v>
      </c>
      <c r="M1439" s="1" t="str">
        <f>""</f>
        <v/>
      </c>
      <c r="N1439" s="1" t="str">
        <f t="shared" si="458"/>
        <v>Y</v>
      </c>
      <c r="O1439" s="1" t="str">
        <f t="shared" si="455"/>
        <v>Y</v>
      </c>
      <c r="P1439" s="1" t="str">
        <f t="shared" si="460"/>
        <v>Y</v>
      </c>
      <c r="Q1439" s="1" t="str">
        <f t="shared" si="456"/>
        <v>A</v>
      </c>
    </row>
    <row r="1440" spans="1:17" x14ac:dyDescent="0.3">
      <c r="A1440" s="1" t="str">
        <f t="shared" si="459"/>
        <v>JB</v>
      </c>
      <c r="B1440" s="1" t="str">
        <f>"MAMJB03"</f>
        <v>MAMJB03</v>
      </c>
      <c r="C1440" s="1" t="str">
        <f>"석회화소견"</f>
        <v>석회화소견</v>
      </c>
      <c r="D1440" s="1" t="str">
        <f>"유방촬영검사결과 석회화 소견으로 보입니다. 병적인 소견 아니나 정기적으로 유방촬영검사로 추적관찰하는 것이 필요합니다."</f>
        <v>유방촬영검사결과 석회화 소견으로 보입니다. 병적인 소견 아니나 정기적으로 유방촬영검사로 추적관찰하는 것이 필요합니다.</v>
      </c>
      <c r="E1440" s="1" t="str">
        <f>""</f>
        <v/>
      </c>
      <c r="F1440" s="1" t="str">
        <f>""</f>
        <v/>
      </c>
      <c r="G1440" s="1" t="str">
        <f>""</f>
        <v/>
      </c>
      <c r="H1440" s="1" t="str">
        <f>""</f>
        <v/>
      </c>
      <c r="I1440" s="1" t="str">
        <f>""</f>
        <v/>
      </c>
      <c r="J1440" s="1" t="str">
        <f>""</f>
        <v/>
      </c>
      <c r="K1440" s="1" t="str">
        <f>""</f>
        <v/>
      </c>
      <c r="L1440" s="1" t="str">
        <f t="shared" si="457"/>
        <v>R</v>
      </c>
      <c r="M1440" s="1" t="str">
        <f>""</f>
        <v/>
      </c>
      <c r="N1440" s="1" t="str">
        <f t="shared" si="458"/>
        <v>Y</v>
      </c>
      <c r="O1440" s="1" t="str">
        <f t="shared" si="455"/>
        <v>Y</v>
      </c>
      <c r="P1440" s="1" t="str">
        <f t="shared" si="460"/>
        <v>Y</v>
      </c>
      <c r="Q1440" s="1" t="str">
        <f t="shared" si="456"/>
        <v>A</v>
      </c>
    </row>
    <row r="1441" spans="1:17" x14ac:dyDescent="0.3">
      <c r="A1441" s="1" t="str">
        <f t="shared" si="459"/>
        <v>JB</v>
      </c>
      <c r="B1441" s="1" t="str">
        <f>"MEAIGG1"</f>
        <v>MEAIGG1</v>
      </c>
      <c r="C1441" s="1" t="str">
        <f>"홍역 항체 음성"</f>
        <v>홍역 항체 음성</v>
      </c>
      <c r="D1441" s="1" t="str">
        <f>"홍역(Measles)에 대한 항체가 음성입니다. 예방접종에 대한 상담을 받으시기 바랍니다."</f>
        <v>홍역(Measles)에 대한 항체가 음성입니다. 예방접종에 대한 상담을 받으시기 바랍니다.</v>
      </c>
      <c r="E1441" s="1" t="str">
        <f>""</f>
        <v/>
      </c>
      <c r="F1441" s="1" t="str">
        <f>""</f>
        <v/>
      </c>
      <c r="G1441" s="1" t="str">
        <f>""</f>
        <v/>
      </c>
      <c r="H1441" s="1" t="str">
        <f>""</f>
        <v/>
      </c>
      <c r="I1441" s="1" t="str">
        <f>""</f>
        <v/>
      </c>
      <c r="J1441" s="1" t="str">
        <f>""</f>
        <v/>
      </c>
      <c r="K1441" s="1" t="str">
        <f>""</f>
        <v/>
      </c>
      <c r="L1441" s="1" t="str">
        <f t="shared" si="457"/>
        <v>R</v>
      </c>
      <c r="M1441" s="1" t="str">
        <f>""</f>
        <v/>
      </c>
      <c r="N1441" s="1" t="str">
        <f t="shared" si="458"/>
        <v>Y</v>
      </c>
      <c r="O1441" s="1" t="str">
        <f t="shared" si="455"/>
        <v>Y</v>
      </c>
      <c r="P1441" s="1" t="str">
        <f t="shared" si="460"/>
        <v>Y</v>
      </c>
      <c r="Q1441" s="1" t="str">
        <f t="shared" si="456"/>
        <v>A</v>
      </c>
    </row>
    <row r="1442" spans="1:17" x14ac:dyDescent="0.3">
      <c r="A1442" s="1" t="str">
        <f t="shared" si="459"/>
        <v>JB</v>
      </c>
      <c r="B1442" s="1" t="str">
        <f>"MEAIGG2"</f>
        <v>MEAIGG2</v>
      </c>
      <c r="C1442" s="1" t="str">
        <f>"홍역 항체 약양성"</f>
        <v>홍역 항체 약양성</v>
      </c>
      <c r="D1442" s="1" t="str">
        <f>"홍역(Measles)에 대한 항체가 약양성입니다. 예방접종에 대한 상담을 받으시기 바랍니다."</f>
        <v>홍역(Measles)에 대한 항체가 약양성입니다. 예방접종에 대한 상담을 받으시기 바랍니다.</v>
      </c>
      <c r="E1442" s="1" t="str">
        <f>""</f>
        <v/>
      </c>
      <c r="F1442" s="1" t="str">
        <f>""</f>
        <v/>
      </c>
      <c r="G1442" s="1" t="str">
        <f>""</f>
        <v/>
      </c>
      <c r="H1442" s="1" t="str">
        <f>""</f>
        <v/>
      </c>
      <c r="I1442" s="1" t="str">
        <f>""</f>
        <v/>
      </c>
      <c r="J1442" s="1" t="str">
        <f>""</f>
        <v/>
      </c>
      <c r="K1442" s="1" t="str">
        <f>""</f>
        <v/>
      </c>
      <c r="L1442" s="1" t="str">
        <f t="shared" si="457"/>
        <v>R</v>
      </c>
      <c r="M1442" s="1" t="str">
        <f>""</f>
        <v/>
      </c>
      <c r="N1442" s="1" t="str">
        <f t="shared" si="458"/>
        <v>Y</v>
      </c>
      <c r="O1442" s="1" t="str">
        <f t="shared" si="455"/>
        <v>Y</v>
      </c>
      <c r="P1442" s="1" t="str">
        <f t="shared" si="460"/>
        <v>Y</v>
      </c>
      <c r="Q1442" s="1" t="str">
        <f t="shared" si="456"/>
        <v>A</v>
      </c>
    </row>
    <row r="1443" spans="1:17" x14ac:dyDescent="0.3">
      <c r="A1443" s="1" t="str">
        <f t="shared" si="459"/>
        <v>JB</v>
      </c>
      <c r="B1443" s="1" t="str">
        <f>"OBEJB01"</f>
        <v>OBEJB01</v>
      </c>
      <c r="C1443" s="1" t="str">
        <f>"비만1단계"</f>
        <v>비만1단계</v>
      </c>
      <c r="D1443" s="1" t="str">
        <f>"과체중입니다. 적정체중 유지를 위해 저탄수화물 식이 규칙적 운동 등을 권합니다."</f>
        <v>과체중입니다. 적정체중 유지를 위해 저탄수화물 식이 규칙적 운동 등을 권합니다.</v>
      </c>
      <c r="E1443" s="1" t="str">
        <f>"WOK01"</f>
        <v>WOK01</v>
      </c>
      <c r="F1443" s="1" t="str">
        <f>""</f>
        <v/>
      </c>
      <c r="G1443" s="1" t="str">
        <f>"DISE"</f>
        <v>DISE</v>
      </c>
      <c r="H1443" s="1" t="str">
        <f>"REL10"</f>
        <v>REL10</v>
      </c>
      <c r="I1443" s="1" t="str">
        <f>""</f>
        <v/>
      </c>
      <c r="J1443" s="1" t="str">
        <f>""</f>
        <v/>
      </c>
      <c r="K1443" s="1" t="str">
        <f>""</f>
        <v/>
      </c>
      <c r="L1443" s="1" t="str">
        <f t="shared" si="457"/>
        <v>R</v>
      </c>
      <c r="M1443" s="1" t="str">
        <f>"T03"</f>
        <v>T03</v>
      </c>
      <c r="N1443" s="1" t="str">
        <f t="shared" si="458"/>
        <v>Y</v>
      </c>
      <c r="O1443" s="1" t="str">
        <f t="shared" si="455"/>
        <v>Y</v>
      </c>
      <c r="P1443" s="1" t="str">
        <f t="shared" si="460"/>
        <v>Y</v>
      </c>
      <c r="Q1443" s="1" t="str">
        <f t="shared" si="456"/>
        <v>A</v>
      </c>
    </row>
    <row r="1444" spans="1:17" x14ac:dyDescent="0.3">
      <c r="A1444" s="1" t="str">
        <f t="shared" si="459"/>
        <v>JB</v>
      </c>
      <c r="B1444" s="1" t="str">
        <f>"OBEJB02"</f>
        <v>OBEJB02</v>
      </c>
      <c r="C1444" s="1" t="str">
        <f>"비만2단계"</f>
        <v>비만2단계</v>
      </c>
      <c r="D1444" s="1" t="str">
        <f>"과체중입니다. 적정체중 유지를 위해 저탄수화물 식이 규칙적 운동 등을 권합니다."</f>
        <v>과체중입니다. 적정체중 유지를 위해 저탄수화물 식이 규칙적 운동 등을 권합니다.</v>
      </c>
      <c r="E1444" s="1" t="str">
        <f>"WOK01"</f>
        <v>WOK01</v>
      </c>
      <c r="F1444" s="1" t="str">
        <f>""</f>
        <v/>
      </c>
      <c r="G1444" s="1" t="str">
        <f>"DISE"</f>
        <v>DISE</v>
      </c>
      <c r="H1444" s="1" t="str">
        <f>"REL10"</f>
        <v>REL10</v>
      </c>
      <c r="I1444" s="1" t="str">
        <f>""</f>
        <v/>
      </c>
      <c r="J1444" s="1" t="str">
        <f>""</f>
        <v/>
      </c>
      <c r="K1444" s="1" t="str">
        <f>""</f>
        <v/>
      </c>
      <c r="L1444" s="1" t="str">
        <f t="shared" si="457"/>
        <v>R</v>
      </c>
      <c r="M1444" s="1" t="str">
        <f>"T03"</f>
        <v>T03</v>
      </c>
      <c r="N1444" s="1" t="str">
        <f t="shared" si="458"/>
        <v>Y</v>
      </c>
      <c r="O1444" s="1" t="str">
        <f t="shared" si="455"/>
        <v>Y</v>
      </c>
      <c r="P1444" s="1" t="str">
        <f t="shared" si="460"/>
        <v>Y</v>
      </c>
      <c r="Q1444" s="1" t="str">
        <f t="shared" si="456"/>
        <v>A</v>
      </c>
    </row>
    <row r="1445" spans="1:17" x14ac:dyDescent="0.3">
      <c r="A1445" s="1" t="str">
        <f t="shared" si="459"/>
        <v>JB</v>
      </c>
      <c r="B1445" s="1" t="str">
        <f>"OBEJB03"</f>
        <v>OBEJB03</v>
      </c>
      <c r="C1445" s="1" t="str">
        <f>"비만3단계"</f>
        <v>비만3단계</v>
      </c>
      <c r="D1445" s="1" t="str">
        <f>"비만체중입니다. 체중감량을 위해 적극적인 식이요법과 운동을 권합니다."</f>
        <v>비만체중입니다. 체중감량을 위해 적극적인 식이요법과 운동을 권합니다.</v>
      </c>
      <c r="E1445" s="1" t="str">
        <f>"WOK01"</f>
        <v>WOK01</v>
      </c>
      <c r="F1445" s="1" t="str">
        <f>""</f>
        <v/>
      </c>
      <c r="G1445" s="1" t="str">
        <f>"DISE"</f>
        <v>DISE</v>
      </c>
      <c r="H1445" s="1" t="str">
        <f>"REL10"</f>
        <v>REL10</v>
      </c>
      <c r="I1445" s="1" t="str">
        <f>""</f>
        <v/>
      </c>
      <c r="J1445" s="1" t="str">
        <f>""</f>
        <v/>
      </c>
      <c r="K1445" s="1" t="str">
        <f>""</f>
        <v/>
      </c>
      <c r="L1445" s="1" t="str">
        <f t="shared" si="457"/>
        <v>R</v>
      </c>
      <c r="M1445" s="1" t="str">
        <f>"T03"</f>
        <v>T03</v>
      </c>
      <c r="N1445" s="1" t="str">
        <f t="shared" si="458"/>
        <v>Y</v>
      </c>
      <c r="O1445" s="1" t="str">
        <f t="shared" si="455"/>
        <v>Y</v>
      </c>
      <c r="P1445" s="1" t="str">
        <f t="shared" si="460"/>
        <v>Y</v>
      </c>
      <c r="Q1445" s="1" t="str">
        <f t="shared" si="456"/>
        <v>A</v>
      </c>
    </row>
    <row r="1446" spans="1:17" x14ac:dyDescent="0.3">
      <c r="A1446" s="1" t="str">
        <f t="shared" si="459"/>
        <v>JB</v>
      </c>
      <c r="B1446" s="1" t="str">
        <f>"OCUJB01"</f>
        <v>OCUJB01</v>
      </c>
      <c r="C1446" s="1" t="str">
        <f>"경미한 안압상승"</f>
        <v>경미한 안압상승</v>
      </c>
      <c r="D1446" s="1" t="str">
        <f>"안압검사에서 경미한 안압상승 소견이 있습니다. 녹내장과 같은 안과질환에서 안압이 상승할 수 있으나 연령증가에 따라 어느 정도는 상승할 수 있습니다. 40세 이후 눈의 건강관리를 위해 1년에 1회 안압을 측정할 것을 권합니다."</f>
        <v>안압검사에서 경미한 안압상승 소견이 있습니다. 녹내장과 같은 안과질환에서 안압이 상승할 수 있으나 연령증가에 따라 어느 정도는 상승할 수 있습니다. 40세 이후 눈의 건강관리를 위해 1년에 1회 안압을 측정할 것을 권합니다.</v>
      </c>
      <c r="E1446" s="1" t="str">
        <f>""</f>
        <v/>
      </c>
      <c r="F1446" s="1" t="str">
        <f>""</f>
        <v/>
      </c>
      <c r="G1446" s="1" t="str">
        <f>""</f>
        <v/>
      </c>
      <c r="H1446" s="1" t="str">
        <f>""</f>
        <v/>
      </c>
      <c r="I1446" s="1" t="str">
        <f>""</f>
        <v/>
      </c>
      <c r="J1446" s="1" t="str">
        <f>""</f>
        <v/>
      </c>
      <c r="K1446" s="1" t="str">
        <f>""</f>
        <v/>
      </c>
      <c r="L1446" s="1" t="str">
        <f t="shared" si="457"/>
        <v>R</v>
      </c>
      <c r="M1446" s="1" t="str">
        <f>""</f>
        <v/>
      </c>
      <c r="N1446" s="1" t="str">
        <f t="shared" si="458"/>
        <v>Y</v>
      </c>
      <c r="O1446" s="1" t="str">
        <f t="shared" si="455"/>
        <v>Y</v>
      </c>
      <c r="P1446" s="1" t="str">
        <f t="shared" si="460"/>
        <v>Y</v>
      </c>
      <c r="Q1446" s="1" t="str">
        <f t="shared" si="456"/>
        <v>A</v>
      </c>
    </row>
    <row r="1447" spans="1:17" x14ac:dyDescent="0.3">
      <c r="A1447" s="1" t="str">
        <f t="shared" si="459"/>
        <v>JB</v>
      </c>
      <c r="B1447" s="1" t="str">
        <f>"OCUJB03"</f>
        <v>OCUJB03</v>
      </c>
      <c r="C1447" s="1" t="str">
        <f>"범무늬안저"</f>
        <v>범무늬안저</v>
      </c>
      <c r="D1447" s="1" t="str">
        <f>"안저검사결과 범무늬안저 소견입니다. 범무늬안저는 고도근시에서 나타나는 소견으로 시력이 좋지 않은 경우 교정하시기 바랍니다."</f>
        <v>안저검사결과 범무늬안저 소견입니다. 범무늬안저는 고도근시에서 나타나는 소견으로 시력이 좋지 않은 경우 교정하시기 바랍니다.</v>
      </c>
      <c r="E1447" s="1" t="str">
        <f>""</f>
        <v/>
      </c>
      <c r="F1447" s="1" t="str">
        <f>""</f>
        <v/>
      </c>
      <c r="G1447" s="1" t="str">
        <f>""</f>
        <v/>
      </c>
      <c r="H1447" s="1" t="str">
        <f>""</f>
        <v/>
      </c>
      <c r="I1447" s="1" t="str">
        <f>""</f>
        <v/>
      </c>
      <c r="J1447" s="1" t="str">
        <f>""</f>
        <v/>
      </c>
      <c r="K1447" s="1" t="str">
        <f>""</f>
        <v/>
      </c>
      <c r="L1447" s="1" t="str">
        <f t="shared" si="457"/>
        <v>R</v>
      </c>
      <c r="M1447" s="1" t="str">
        <f>""</f>
        <v/>
      </c>
      <c r="N1447" s="1" t="str">
        <f t="shared" si="458"/>
        <v>Y</v>
      </c>
      <c r="O1447" s="1" t="str">
        <f t="shared" si="455"/>
        <v>Y</v>
      </c>
      <c r="P1447" s="1" t="str">
        <f t="shared" si="460"/>
        <v>Y</v>
      </c>
      <c r="Q1447" s="1" t="str">
        <f t="shared" si="456"/>
        <v>A</v>
      </c>
    </row>
    <row r="1448" spans="1:17" x14ac:dyDescent="0.3">
      <c r="A1448" s="1" t="str">
        <f t="shared" ref="A1448:A1479" si="461">"JB"</f>
        <v>JB</v>
      </c>
      <c r="B1448" s="1" t="str">
        <f>"PLAJB01"</f>
        <v>PLAJB01</v>
      </c>
      <c r="C1448" s="1" t="str">
        <f>"혈소판 증가"</f>
        <v>혈소판 증가</v>
      </c>
      <c r="D1448" s="1" t="str">
        <f>"혈액검사에서 혈소판수가 증가하였습니다. 혈액질환이 있을 경우 증가할 수 있으나 탈수에 따른 혈액농축이나 기타 일시적인 현상에 의해 증가하는 경우도 있습니다. 1개월이내에 다시 검사를 받아보실 것을 권합니다."</f>
        <v>혈액검사에서 혈소판수가 증가하였습니다. 혈액질환이 있을 경우 증가할 수 있으나 탈수에 따른 혈액농축이나 기타 일시적인 현상에 의해 증가하는 경우도 있습니다. 1개월이내에 다시 검사를 받아보실 것을 권합니다.</v>
      </c>
      <c r="E1448" s="1" t="str">
        <f>"WOK01"</f>
        <v>WOK01</v>
      </c>
      <c r="F1448" s="1" t="str">
        <f>""</f>
        <v/>
      </c>
      <c r="G1448" s="1" t="str">
        <f>"DISD"</f>
        <v>DISD</v>
      </c>
      <c r="H1448" s="1" t="str">
        <f>"REL12"</f>
        <v>REL12</v>
      </c>
      <c r="I1448" s="1" t="str">
        <f>""</f>
        <v/>
      </c>
      <c r="J1448" s="1" t="str">
        <f>""</f>
        <v/>
      </c>
      <c r="K1448" s="1" t="str">
        <f>""</f>
        <v/>
      </c>
      <c r="L1448" s="1" t="str">
        <f t="shared" si="457"/>
        <v>R</v>
      </c>
      <c r="M1448" s="1" t="str">
        <f>"T01"</f>
        <v>T01</v>
      </c>
      <c r="N1448" s="1" t="str">
        <f t="shared" si="458"/>
        <v>Y</v>
      </c>
      <c r="O1448" s="1" t="str">
        <f t="shared" si="455"/>
        <v>Y</v>
      </c>
      <c r="P1448" s="1" t="str">
        <f t="shared" si="460"/>
        <v>Y</v>
      </c>
      <c r="Q1448" s="1" t="str">
        <f t="shared" si="456"/>
        <v>A</v>
      </c>
    </row>
    <row r="1449" spans="1:17" x14ac:dyDescent="0.3">
      <c r="A1449" s="1" t="str">
        <f t="shared" si="461"/>
        <v>JB</v>
      </c>
      <c r="B1449" s="1" t="str">
        <f>"RBCJB01"</f>
        <v>RBCJB01</v>
      </c>
      <c r="C1449" s="1" t="str">
        <f>"빈혈의심"</f>
        <v>빈혈의심</v>
      </c>
      <c r="D1449" s="1" t="str">
        <f>"혈액검사에서 적혈구수가 감소되어 빈혈이 의심됩니다. 고른 식이와 영양섭취에 주의하시고 경과관찰 및 원인 규명을 위하여 상세한 상담 및 진료가 필요합니다. 내원하시어 상담하시거나 내과 진료를 권합니다."</f>
        <v>혈액검사에서 적혈구수가 감소되어 빈혈이 의심됩니다. 고른 식이와 영양섭취에 주의하시고 경과관찰 및 원인 규명을 위하여 상세한 상담 및 진료가 필요합니다. 내원하시어 상담하시거나 내과 진료를 권합니다.</v>
      </c>
      <c r="E1449" s="1" t="str">
        <f>"WOK01"</f>
        <v>WOK01</v>
      </c>
      <c r="F1449" s="1" t="str">
        <f>""</f>
        <v/>
      </c>
      <c r="G1449" s="1" t="str">
        <f>"DISD"</f>
        <v>DISD</v>
      </c>
      <c r="H1449" s="1" t="str">
        <f>"REL12"</f>
        <v>REL12</v>
      </c>
      <c r="I1449" s="1" t="str">
        <f>""</f>
        <v/>
      </c>
      <c r="J1449" s="1" t="str">
        <f>""</f>
        <v/>
      </c>
      <c r="K1449" s="1" t="str">
        <f>""</f>
        <v/>
      </c>
      <c r="L1449" s="1" t="str">
        <f t="shared" si="457"/>
        <v>R</v>
      </c>
      <c r="M1449" s="1" t="str">
        <f>"T01"</f>
        <v>T01</v>
      </c>
      <c r="N1449" s="1" t="str">
        <f t="shared" si="458"/>
        <v>Y</v>
      </c>
      <c r="O1449" s="1" t="str">
        <f t="shared" si="455"/>
        <v>Y</v>
      </c>
      <c r="P1449" s="1" t="str">
        <f t="shared" si="460"/>
        <v>Y</v>
      </c>
      <c r="Q1449" s="1" t="str">
        <f t="shared" si="456"/>
        <v>A</v>
      </c>
    </row>
    <row r="1450" spans="1:17" x14ac:dyDescent="0.3">
      <c r="A1450" s="1" t="str">
        <f t="shared" si="461"/>
        <v>JB</v>
      </c>
      <c r="B1450" s="1" t="str">
        <f>"RBCJB02"</f>
        <v>RBCJB02</v>
      </c>
      <c r="C1450" s="1" t="str">
        <f>"적혈구 증가"</f>
        <v>적혈구 증가</v>
      </c>
      <c r="D1450" s="1" t="str">
        <f>"혈액검사상 적혈구수가 증가되어 있습니다. 경미하거나 일시적인 소견일 수도 있으나 원인규명을 위해 상세한 상담 및 진료가 필요합니다. 내원하시어 상담하시거나 내과 진료를 권합니다."</f>
        <v>혈액검사상 적혈구수가 증가되어 있습니다. 경미하거나 일시적인 소견일 수도 있으나 원인규명을 위해 상세한 상담 및 진료가 필요합니다. 내원하시어 상담하시거나 내과 진료를 권합니다.</v>
      </c>
      <c r="E1450" s="1" t="str">
        <f>"WOK01"</f>
        <v>WOK01</v>
      </c>
      <c r="F1450" s="1" t="str">
        <f>""</f>
        <v/>
      </c>
      <c r="G1450" s="1" t="str">
        <f>"DISD"</f>
        <v>DISD</v>
      </c>
      <c r="H1450" s="1" t="str">
        <f>"REL12"</f>
        <v>REL12</v>
      </c>
      <c r="I1450" s="1" t="str">
        <f>""</f>
        <v/>
      </c>
      <c r="J1450" s="1" t="str">
        <f>""</f>
        <v/>
      </c>
      <c r="K1450" s="1" t="str">
        <f>""</f>
        <v/>
      </c>
      <c r="L1450" s="1" t="str">
        <f t="shared" si="457"/>
        <v>R</v>
      </c>
      <c r="M1450" s="1" t="str">
        <f>"T01"</f>
        <v>T01</v>
      </c>
      <c r="N1450" s="1" t="str">
        <f t="shared" si="458"/>
        <v>Y</v>
      </c>
      <c r="O1450" s="1" t="str">
        <f t="shared" si="455"/>
        <v>Y</v>
      </c>
      <c r="P1450" s="1" t="str">
        <f t="shared" si="460"/>
        <v>Y</v>
      </c>
      <c r="Q1450" s="1" t="str">
        <f t="shared" si="456"/>
        <v>A</v>
      </c>
    </row>
    <row r="1451" spans="1:17" x14ac:dyDescent="0.3">
      <c r="A1451" s="1" t="str">
        <f t="shared" si="461"/>
        <v>JB</v>
      </c>
      <c r="B1451" s="1" t="str">
        <f>"RUBIGG1"</f>
        <v>RUBIGG1</v>
      </c>
      <c r="C1451" s="1" t="str">
        <f>"풍진 항체 음성"</f>
        <v>풍진 항체 음성</v>
      </c>
      <c r="D1451" s="1" t="str">
        <f>"풍진(Rubella)에 대한 항체가 음성입니다. 예방접종에 관한 상담을 받으시기 바랍니다."</f>
        <v>풍진(Rubella)에 대한 항체가 음성입니다. 예방접종에 관한 상담을 받으시기 바랍니다.</v>
      </c>
      <c r="E1451" s="1" t="str">
        <f>""</f>
        <v/>
      </c>
      <c r="F1451" s="1" t="str">
        <f>""</f>
        <v/>
      </c>
      <c r="G1451" s="1" t="str">
        <f>""</f>
        <v/>
      </c>
      <c r="H1451" s="1" t="str">
        <f>""</f>
        <v/>
      </c>
      <c r="I1451" s="1" t="str">
        <f>""</f>
        <v/>
      </c>
      <c r="J1451" s="1" t="str">
        <f>""</f>
        <v/>
      </c>
      <c r="K1451" s="1" t="str">
        <f>""</f>
        <v/>
      </c>
      <c r="L1451" s="1" t="str">
        <f t="shared" si="457"/>
        <v>R</v>
      </c>
      <c r="M1451" s="1" t="str">
        <f>""</f>
        <v/>
      </c>
      <c r="N1451" s="1" t="str">
        <f t="shared" si="458"/>
        <v>Y</v>
      </c>
      <c r="O1451" s="1" t="str">
        <f t="shared" si="455"/>
        <v>Y</v>
      </c>
      <c r="P1451" s="1" t="str">
        <f t="shared" si="460"/>
        <v>Y</v>
      </c>
      <c r="Q1451" s="1" t="str">
        <f t="shared" si="456"/>
        <v>A</v>
      </c>
    </row>
    <row r="1452" spans="1:17" x14ac:dyDescent="0.3">
      <c r="A1452" s="1" t="str">
        <f t="shared" si="461"/>
        <v>JB</v>
      </c>
      <c r="B1452" s="1" t="str">
        <f>"RUBIGG2"</f>
        <v>RUBIGG2</v>
      </c>
      <c r="C1452" s="1" t="str">
        <f>"풍진 항체 약양성"</f>
        <v>풍진 항체 약양성</v>
      </c>
      <c r="D1452" s="1" t="str">
        <f>"풍진(Rubella)에 대한 항체가 약양성입니다. 예방접종에 관한 상담을 받으시기 바랍니다."</f>
        <v>풍진(Rubella)에 대한 항체가 약양성입니다. 예방접종에 관한 상담을 받으시기 바랍니다.</v>
      </c>
      <c r="E1452" s="1" t="str">
        <f>""</f>
        <v/>
      </c>
      <c r="F1452" s="1" t="str">
        <f>""</f>
        <v/>
      </c>
      <c r="G1452" s="1" t="str">
        <f>""</f>
        <v/>
      </c>
      <c r="H1452" s="1" t="str">
        <f>""</f>
        <v/>
      </c>
      <c r="I1452" s="1" t="str">
        <f>""</f>
        <v/>
      </c>
      <c r="J1452" s="1" t="str">
        <f>""</f>
        <v/>
      </c>
      <c r="K1452" s="1" t="str">
        <f>""</f>
        <v/>
      </c>
      <c r="L1452" s="1" t="str">
        <f t="shared" si="457"/>
        <v>R</v>
      </c>
      <c r="M1452" s="1" t="str">
        <f>""</f>
        <v/>
      </c>
      <c r="N1452" s="1" t="str">
        <f t="shared" si="458"/>
        <v>Y</v>
      </c>
      <c r="O1452" s="1" t="str">
        <f t="shared" si="455"/>
        <v>Y</v>
      </c>
      <c r="P1452" s="1" t="str">
        <f t="shared" si="460"/>
        <v>Y</v>
      </c>
      <c r="Q1452" s="1" t="str">
        <f t="shared" si="456"/>
        <v>A</v>
      </c>
    </row>
    <row r="1453" spans="1:17" x14ac:dyDescent="0.3">
      <c r="A1453" s="1" t="str">
        <f t="shared" si="461"/>
        <v>JB</v>
      </c>
      <c r="B1453" s="1" t="str">
        <f>"SON306"</f>
        <v>SON306</v>
      </c>
      <c r="C1453" s="1" t="str">
        <f>"좌측 신장 낭종"</f>
        <v>좌측 신장 낭종</v>
      </c>
      <c r="D1453" s="1" t="s">
        <v>425</v>
      </c>
      <c r="E1453" s="1" t="str">
        <f>"WOK01"</f>
        <v>WOK01</v>
      </c>
      <c r="F1453" s="1" t="str">
        <f>"PTM036"</f>
        <v>PTM036</v>
      </c>
      <c r="G1453" s="1" t="str">
        <f>"DISN"</f>
        <v>DISN</v>
      </c>
      <c r="H1453" s="1" t="str">
        <f>"REL08"</f>
        <v>REL08</v>
      </c>
      <c r="I1453" s="1" t="str">
        <f>""</f>
        <v/>
      </c>
      <c r="J1453" s="1" t="str">
        <f>""</f>
        <v/>
      </c>
      <c r="K1453" s="1" t="str">
        <f>""</f>
        <v/>
      </c>
      <c r="L1453" s="1" t="str">
        <f t="shared" si="457"/>
        <v>R</v>
      </c>
      <c r="M1453" s="1" t="str">
        <f>"T05"</f>
        <v>T05</v>
      </c>
      <c r="N1453" s="1" t="str">
        <f t="shared" si="458"/>
        <v>Y</v>
      </c>
      <c r="O1453" s="1" t="str">
        <f t="shared" si="455"/>
        <v>Y</v>
      </c>
      <c r="P1453" s="1" t="str">
        <f t="shared" si="460"/>
        <v>Y</v>
      </c>
      <c r="Q1453" s="1" t="str">
        <f t="shared" si="456"/>
        <v>A</v>
      </c>
    </row>
    <row r="1454" spans="1:17" x14ac:dyDescent="0.3">
      <c r="A1454" s="1" t="str">
        <f t="shared" si="461"/>
        <v>JB</v>
      </c>
      <c r="B1454" s="1" t="str">
        <f>"SON307"</f>
        <v>SON307</v>
      </c>
      <c r="C1454" s="1" t="str">
        <f>"우측 신장 낭종"</f>
        <v>우측 신장 낭종</v>
      </c>
      <c r="D1454" s="1" t="s">
        <v>426</v>
      </c>
      <c r="E1454" s="1" t="str">
        <f>"WOK01"</f>
        <v>WOK01</v>
      </c>
      <c r="F1454" s="1" t="str">
        <f>""</f>
        <v/>
      </c>
      <c r="G1454" s="1" t="str">
        <f>"DISN"</f>
        <v>DISN</v>
      </c>
      <c r="H1454" s="1" t="str">
        <f>"REL08"</f>
        <v>REL08</v>
      </c>
      <c r="I1454" s="1" t="str">
        <f>""</f>
        <v/>
      </c>
      <c r="J1454" s="1" t="str">
        <f>""</f>
        <v/>
      </c>
      <c r="K1454" s="1" t="str">
        <f>""</f>
        <v/>
      </c>
      <c r="L1454" s="1" t="str">
        <f t="shared" si="457"/>
        <v>R</v>
      </c>
      <c r="M1454" s="1" t="str">
        <f>"T05"</f>
        <v>T05</v>
      </c>
      <c r="N1454" s="1" t="str">
        <f t="shared" si="458"/>
        <v>Y</v>
      </c>
      <c r="O1454" s="1" t="str">
        <f t="shared" si="455"/>
        <v>Y</v>
      </c>
      <c r="P1454" s="1" t="str">
        <f t="shared" si="460"/>
        <v>Y</v>
      </c>
      <c r="Q1454" s="1" t="str">
        <f t="shared" si="456"/>
        <v>A</v>
      </c>
    </row>
    <row r="1455" spans="1:17" x14ac:dyDescent="0.3">
      <c r="A1455" s="1" t="str">
        <f t="shared" si="461"/>
        <v>JB</v>
      </c>
      <c r="B1455" s="1" t="str">
        <f>"SON308"</f>
        <v>SON308</v>
      </c>
      <c r="C1455" s="1" t="str">
        <f>"양측 신장 낭종"</f>
        <v>양측 신장 낭종</v>
      </c>
      <c r="D1455" s="1" t="s">
        <v>425</v>
      </c>
      <c r="E1455" s="1" t="str">
        <f>"WOK01"</f>
        <v>WOK01</v>
      </c>
      <c r="F1455" s="1" t="str">
        <f>"PTM036"</f>
        <v>PTM036</v>
      </c>
      <c r="G1455" s="1" t="str">
        <f>"DISN"</f>
        <v>DISN</v>
      </c>
      <c r="H1455" s="1" t="str">
        <f>"REL08"</f>
        <v>REL08</v>
      </c>
      <c r="I1455" s="1" t="str">
        <f>""</f>
        <v/>
      </c>
      <c r="J1455" s="1" t="str">
        <f>""</f>
        <v/>
      </c>
      <c r="K1455" s="1" t="str">
        <f>""</f>
        <v/>
      </c>
      <c r="L1455" s="1" t="str">
        <f t="shared" si="457"/>
        <v>R</v>
      </c>
      <c r="M1455" s="1" t="str">
        <f>"T05"</f>
        <v>T05</v>
      </c>
      <c r="N1455" s="1" t="str">
        <f t="shared" si="458"/>
        <v>Y</v>
      </c>
      <c r="O1455" s="1" t="str">
        <f t="shared" si="455"/>
        <v>Y</v>
      </c>
      <c r="P1455" s="1" t="str">
        <f t="shared" si="460"/>
        <v>Y</v>
      </c>
      <c r="Q1455" s="1" t="str">
        <f t="shared" si="456"/>
        <v>A</v>
      </c>
    </row>
    <row r="1456" spans="1:17" x14ac:dyDescent="0.3">
      <c r="A1456" s="1" t="str">
        <f t="shared" si="461"/>
        <v>JB</v>
      </c>
      <c r="B1456" s="1" t="str">
        <f>"SONJB01"</f>
        <v>SONJB01</v>
      </c>
      <c r="C1456" s="1" t="str">
        <f>"경미한 지방간"</f>
        <v>경미한 지방간</v>
      </c>
      <c r="D1456" s="1" t="s">
        <v>427</v>
      </c>
      <c r="E1456" s="1" t="str">
        <f>""</f>
        <v/>
      </c>
      <c r="F1456" s="1" t="str">
        <f>""</f>
        <v/>
      </c>
      <c r="G1456" s="1" t="str">
        <f>""</f>
        <v/>
      </c>
      <c r="H1456" s="1" t="str">
        <f>""</f>
        <v/>
      </c>
      <c r="I1456" s="1" t="str">
        <f>""</f>
        <v/>
      </c>
      <c r="J1456" s="1" t="str">
        <f>""</f>
        <v/>
      </c>
      <c r="K1456" s="1" t="str">
        <f>""</f>
        <v/>
      </c>
      <c r="L1456" s="1" t="str">
        <f t="shared" si="457"/>
        <v>R</v>
      </c>
      <c r="M1456" s="1" t="str">
        <f>""</f>
        <v/>
      </c>
      <c r="N1456" s="1" t="str">
        <f t="shared" si="458"/>
        <v>Y</v>
      </c>
      <c r="O1456" s="1" t="str">
        <f t="shared" si="455"/>
        <v>Y</v>
      </c>
      <c r="P1456" s="1" t="str">
        <f t="shared" si="460"/>
        <v>Y</v>
      </c>
      <c r="Q1456" s="1" t="str">
        <f t="shared" si="456"/>
        <v>A</v>
      </c>
    </row>
    <row r="1457" spans="1:17" x14ac:dyDescent="0.3">
      <c r="A1457" s="1" t="str">
        <f t="shared" si="461"/>
        <v>JB</v>
      </c>
      <c r="B1457" s="1" t="str">
        <f>"SONJB02"</f>
        <v>SONJB02</v>
      </c>
      <c r="C1457" s="1" t="str">
        <f>"간좌엽 낭종"</f>
        <v>간좌엽 낭종</v>
      </c>
      <c r="D1457" s="1" t="str">
        <f>"복부초음파 검사에서 간에 낭종이 나타납니다. 낭종(물혹)은 대부분 악성이 아니므로 크게 걱정하실 필요는 없으나 추이의 변화를 관찰하시기 바랍니다."</f>
        <v>복부초음파 검사에서 간에 낭종이 나타납니다. 낭종(물혹)은 대부분 악성이 아니므로 크게 걱정하실 필요는 없으나 추이의 변화를 관찰하시기 바랍니다.</v>
      </c>
      <c r="E1457" s="1" t="str">
        <f>""</f>
        <v/>
      </c>
      <c r="F1457" s="1" t="str">
        <f>""</f>
        <v/>
      </c>
      <c r="G1457" s="1" t="str">
        <f>""</f>
        <v/>
      </c>
      <c r="H1457" s="1" t="str">
        <f>""</f>
        <v/>
      </c>
      <c r="I1457" s="1" t="str">
        <f>""</f>
        <v/>
      </c>
      <c r="J1457" s="1" t="str">
        <f>""</f>
        <v/>
      </c>
      <c r="K1457" s="1" t="str">
        <f>""</f>
        <v/>
      </c>
      <c r="L1457" s="1" t="str">
        <f t="shared" si="457"/>
        <v>R</v>
      </c>
      <c r="M1457" s="1" t="str">
        <f>""</f>
        <v/>
      </c>
      <c r="N1457" s="1" t="str">
        <f t="shared" si="458"/>
        <v>Y</v>
      </c>
      <c r="O1457" s="1" t="str">
        <f t="shared" si="455"/>
        <v>Y</v>
      </c>
      <c r="P1457" s="1" t="str">
        <f t="shared" si="460"/>
        <v>Y</v>
      </c>
      <c r="Q1457" s="1" t="str">
        <f t="shared" si="456"/>
        <v>A</v>
      </c>
    </row>
    <row r="1458" spans="1:17" x14ac:dyDescent="0.3">
      <c r="A1458" s="1" t="str">
        <f t="shared" si="461"/>
        <v>JB</v>
      </c>
      <c r="B1458" s="1" t="str">
        <f>"SONJB03"</f>
        <v>SONJB03</v>
      </c>
      <c r="C1458" s="1" t="str">
        <f>"간우엽 낭종"</f>
        <v>간우엽 낭종</v>
      </c>
      <c r="D1458" s="1" t="str">
        <f>"복부초음파 검사에서 간에 낭종이 나타납니다. 낭종(물혹)은 대부분 악성이 아니므로 크게 걱정하실 필요는 없으나 추이의 변화를 관찰하시기 바랍니다."</f>
        <v>복부초음파 검사에서 간에 낭종이 나타납니다. 낭종(물혹)은 대부분 악성이 아니므로 크게 걱정하실 필요는 없으나 추이의 변화를 관찰하시기 바랍니다.</v>
      </c>
      <c r="E1458" s="1" t="str">
        <f>""</f>
        <v/>
      </c>
      <c r="F1458" s="1" t="str">
        <f>""</f>
        <v/>
      </c>
      <c r="G1458" s="1" t="str">
        <f>""</f>
        <v/>
      </c>
      <c r="H1458" s="1" t="str">
        <f>""</f>
        <v/>
      </c>
      <c r="I1458" s="1" t="str">
        <f>""</f>
        <v/>
      </c>
      <c r="J1458" s="1" t="str">
        <f>""</f>
        <v/>
      </c>
      <c r="K1458" s="1" t="str">
        <f>""</f>
        <v/>
      </c>
      <c r="L1458" s="1" t="str">
        <f t="shared" si="457"/>
        <v>R</v>
      </c>
      <c r="M1458" s="1" t="str">
        <f>""</f>
        <v/>
      </c>
      <c r="N1458" s="1" t="str">
        <f t="shared" si="458"/>
        <v>Y</v>
      </c>
      <c r="O1458" s="1" t="str">
        <f t="shared" si="455"/>
        <v>Y</v>
      </c>
      <c r="P1458" s="1" t="str">
        <f t="shared" si="460"/>
        <v>Y</v>
      </c>
      <c r="Q1458" s="1" t="str">
        <f t="shared" si="456"/>
        <v>A</v>
      </c>
    </row>
    <row r="1459" spans="1:17" x14ac:dyDescent="0.3">
      <c r="A1459" s="1" t="str">
        <f t="shared" si="461"/>
        <v>JB</v>
      </c>
      <c r="B1459" s="1" t="str">
        <f>"SONJB04"</f>
        <v>SONJB04</v>
      </c>
      <c r="C1459" s="1" t="str">
        <f>"간좌우엽 낭종"</f>
        <v>간좌우엽 낭종</v>
      </c>
      <c r="D1459" s="1" t="str">
        <f>"복부초음파 검사에서 간에 낭종이 나타납니다. 낭종(물혹)은 대부분 악성이 아니므로 크게 걱정하실 필요는 없으나 추이의 변화를 관찰하시기 바랍니다."</f>
        <v>복부초음파 검사에서 간에 낭종이 나타납니다. 낭종(물혹)은 대부분 악성이 아니므로 크게 걱정하실 필요는 없으나 추이의 변화를 관찰하시기 바랍니다.</v>
      </c>
      <c r="E1459" s="1" t="str">
        <f>""</f>
        <v/>
      </c>
      <c r="F1459" s="1" t="str">
        <f>""</f>
        <v/>
      </c>
      <c r="G1459" s="1" t="str">
        <f>""</f>
        <v/>
      </c>
      <c r="H1459" s="1" t="str">
        <f>""</f>
        <v/>
      </c>
      <c r="I1459" s="1" t="str">
        <f>""</f>
        <v/>
      </c>
      <c r="J1459" s="1" t="str">
        <f>""</f>
        <v/>
      </c>
      <c r="K1459" s="1" t="str">
        <f>""</f>
        <v/>
      </c>
      <c r="L1459" s="1" t="str">
        <f t="shared" si="457"/>
        <v>R</v>
      </c>
      <c r="M1459" s="1" t="str">
        <f>""</f>
        <v/>
      </c>
      <c r="N1459" s="1" t="str">
        <f t="shared" si="458"/>
        <v>Y</v>
      </c>
      <c r="O1459" s="1" t="str">
        <f t="shared" si="455"/>
        <v>Y</v>
      </c>
      <c r="P1459" s="1" t="str">
        <f t="shared" si="460"/>
        <v>Y</v>
      </c>
      <c r="Q1459" s="1" t="str">
        <f t="shared" si="456"/>
        <v>A</v>
      </c>
    </row>
    <row r="1460" spans="1:17" x14ac:dyDescent="0.3">
      <c r="A1460" s="1" t="str">
        <f t="shared" si="461"/>
        <v>JB</v>
      </c>
      <c r="B1460" s="1" t="str">
        <f>"SONJB05"</f>
        <v>SONJB05</v>
      </c>
      <c r="C1460" s="1" t="str">
        <f>"간좌엽 석회화"</f>
        <v>간좌엽 석회화</v>
      </c>
      <c r="D1460" s="1" t="str">
        <f>"복부초음파검사에서 간내 석회화 소견이 보입니다. 간내 석회화는 간에 칼슘성분이 침착한 것으로 임상적으로 큰 의미는 없으나 추적관찰 바랍니다."</f>
        <v>복부초음파검사에서 간내 석회화 소견이 보입니다. 간내 석회화는 간에 칼슘성분이 침착한 것으로 임상적으로 큰 의미는 없으나 추적관찰 바랍니다.</v>
      </c>
      <c r="E1460" s="1" t="str">
        <f>""</f>
        <v/>
      </c>
      <c r="F1460" s="1" t="str">
        <f>""</f>
        <v/>
      </c>
      <c r="G1460" s="1" t="str">
        <f>""</f>
        <v/>
      </c>
      <c r="H1460" s="1" t="str">
        <f>""</f>
        <v/>
      </c>
      <c r="I1460" s="1" t="str">
        <f>""</f>
        <v/>
      </c>
      <c r="J1460" s="1" t="str">
        <f>""</f>
        <v/>
      </c>
      <c r="K1460" s="1" t="str">
        <f>""</f>
        <v/>
      </c>
      <c r="L1460" s="1" t="str">
        <f t="shared" si="457"/>
        <v>R</v>
      </c>
      <c r="M1460" s="1" t="str">
        <f>""</f>
        <v/>
      </c>
      <c r="N1460" s="1" t="str">
        <f t="shared" si="458"/>
        <v>Y</v>
      </c>
      <c r="O1460" s="1" t="str">
        <f t="shared" si="455"/>
        <v>Y</v>
      </c>
      <c r="P1460" s="1" t="str">
        <f t="shared" si="460"/>
        <v>Y</v>
      </c>
      <c r="Q1460" s="1" t="str">
        <f t="shared" si="456"/>
        <v>A</v>
      </c>
    </row>
    <row r="1461" spans="1:17" x14ac:dyDescent="0.3">
      <c r="A1461" s="1" t="str">
        <f t="shared" si="461"/>
        <v>JB</v>
      </c>
      <c r="B1461" s="1" t="str">
        <f>"SONJB06"</f>
        <v>SONJB06</v>
      </c>
      <c r="C1461" s="1" t="str">
        <f>"간우엽 석회화"</f>
        <v>간우엽 석회화</v>
      </c>
      <c r="D1461" s="1" t="str">
        <f>"복부초음파검사에서 간내 석회화 소견이 보입니다. 간내 석회화는 간에 칼슘성분이 침착한 것으로 임상적으로 큰 의미는 없으나 추적관찰 바랍니다."</f>
        <v>복부초음파검사에서 간내 석회화 소견이 보입니다. 간내 석회화는 간에 칼슘성분이 침착한 것으로 임상적으로 큰 의미는 없으나 추적관찰 바랍니다.</v>
      </c>
      <c r="E1461" s="1" t="str">
        <f>""</f>
        <v/>
      </c>
      <c r="F1461" s="1" t="str">
        <f>""</f>
        <v/>
      </c>
      <c r="G1461" s="1" t="str">
        <f>""</f>
        <v/>
      </c>
      <c r="H1461" s="1" t="str">
        <f>""</f>
        <v/>
      </c>
      <c r="I1461" s="1" t="str">
        <f>""</f>
        <v/>
      </c>
      <c r="J1461" s="1" t="str">
        <f>""</f>
        <v/>
      </c>
      <c r="K1461" s="1" t="str">
        <f>""</f>
        <v/>
      </c>
      <c r="L1461" s="1" t="str">
        <f t="shared" si="457"/>
        <v>R</v>
      </c>
      <c r="M1461" s="1" t="str">
        <f>""</f>
        <v/>
      </c>
      <c r="N1461" s="1" t="str">
        <f t="shared" si="458"/>
        <v>Y</v>
      </c>
      <c r="O1461" s="1" t="str">
        <f t="shared" si="455"/>
        <v>Y</v>
      </c>
      <c r="P1461" s="1" t="str">
        <f t="shared" si="460"/>
        <v>Y</v>
      </c>
      <c r="Q1461" s="1" t="str">
        <f t="shared" si="456"/>
        <v>A</v>
      </c>
    </row>
    <row r="1462" spans="1:17" x14ac:dyDescent="0.3">
      <c r="A1462" s="1" t="str">
        <f t="shared" si="461"/>
        <v>JB</v>
      </c>
      <c r="B1462" s="1" t="str">
        <f>"SONJB07"</f>
        <v>SONJB07</v>
      </c>
      <c r="C1462" s="1" t="str">
        <f>"간좌우엽 석회화"</f>
        <v>간좌우엽 석회화</v>
      </c>
      <c r="D1462" s="1" t="str">
        <f>"복부초음파검사에서 간내 석회화 소견이 보입니다. 간내 석회화는 간에 칼슘성분이 침착한 것으로 임상적으로 큰 의미는 없으나 추적관찰 바랍니다."</f>
        <v>복부초음파검사에서 간내 석회화 소견이 보입니다. 간내 석회화는 간에 칼슘성분이 침착한 것으로 임상적으로 큰 의미는 없으나 추적관찰 바랍니다.</v>
      </c>
      <c r="E1462" s="1" t="str">
        <f>""</f>
        <v/>
      </c>
      <c r="F1462" s="1" t="str">
        <f>""</f>
        <v/>
      </c>
      <c r="G1462" s="1" t="str">
        <f>""</f>
        <v/>
      </c>
      <c r="H1462" s="1" t="str">
        <f>""</f>
        <v/>
      </c>
      <c r="I1462" s="1" t="str">
        <f>""</f>
        <v/>
      </c>
      <c r="J1462" s="1" t="str">
        <f>""</f>
        <v/>
      </c>
      <c r="K1462" s="1" t="str">
        <f>""</f>
        <v/>
      </c>
      <c r="L1462" s="1" t="str">
        <f t="shared" si="457"/>
        <v>R</v>
      </c>
      <c r="M1462" s="1" t="str">
        <f>""</f>
        <v/>
      </c>
      <c r="N1462" s="1" t="str">
        <f t="shared" si="458"/>
        <v>Y</v>
      </c>
      <c r="O1462" s="1" t="str">
        <f t="shared" si="455"/>
        <v>Y</v>
      </c>
      <c r="P1462" s="1" t="str">
        <f t="shared" si="460"/>
        <v>Y</v>
      </c>
      <c r="Q1462" s="1" t="str">
        <f t="shared" si="456"/>
        <v>A</v>
      </c>
    </row>
    <row r="1463" spans="1:17" x14ac:dyDescent="0.3">
      <c r="A1463" s="1" t="str">
        <f t="shared" si="461"/>
        <v>JB</v>
      </c>
      <c r="B1463" s="1" t="str">
        <f>"SONJB08"</f>
        <v>SONJB08</v>
      </c>
      <c r="C1463" s="1" t="str">
        <f>"기타 담도계 이상"</f>
        <v>기타 담도계 이상</v>
      </c>
      <c r="D1463" s="1" t="s">
        <v>428</v>
      </c>
      <c r="E1463" s="1" t="str">
        <f>""</f>
        <v/>
      </c>
      <c r="F1463" s="1" t="str">
        <f>""</f>
        <v/>
      </c>
      <c r="G1463" s="1" t="str">
        <f>""</f>
        <v/>
      </c>
      <c r="H1463" s="1" t="str">
        <f>""</f>
        <v/>
      </c>
      <c r="I1463" s="1" t="str">
        <f>""</f>
        <v/>
      </c>
      <c r="J1463" s="1" t="str">
        <f>""</f>
        <v/>
      </c>
      <c r="K1463" s="1" t="str">
        <f>""</f>
        <v/>
      </c>
      <c r="L1463" s="1" t="str">
        <f t="shared" si="457"/>
        <v>R</v>
      </c>
      <c r="M1463" s="1" t="str">
        <f>""</f>
        <v/>
      </c>
      <c r="N1463" s="1" t="str">
        <f t="shared" si="458"/>
        <v>Y</v>
      </c>
      <c r="O1463" s="1" t="str">
        <f t="shared" si="455"/>
        <v>Y</v>
      </c>
      <c r="P1463" s="1" t="str">
        <f t="shared" si="460"/>
        <v>Y</v>
      </c>
      <c r="Q1463" s="1" t="str">
        <f t="shared" si="456"/>
        <v>A</v>
      </c>
    </row>
    <row r="1464" spans="1:17" x14ac:dyDescent="0.3">
      <c r="A1464" s="1" t="str">
        <f t="shared" si="461"/>
        <v>JB</v>
      </c>
      <c r="B1464" s="1" t="str">
        <f>"SONJB09"</f>
        <v>SONJB09</v>
      </c>
      <c r="C1464" s="1" t="str">
        <f>"담낭절제 상태"</f>
        <v>담낭절제 상태</v>
      </c>
      <c r="D1464" s="1" t="s">
        <v>429</v>
      </c>
      <c r="E1464" s="1" t="str">
        <f>""</f>
        <v/>
      </c>
      <c r="F1464" s="1" t="str">
        <f>""</f>
        <v/>
      </c>
      <c r="G1464" s="1" t="str">
        <f>""</f>
        <v/>
      </c>
      <c r="H1464" s="1" t="str">
        <f>""</f>
        <v/>
      </c>
      <c r="I1464" s="1" t="str">
        <f>""</f>
        <v/>
      </c>
      <c r="J1464" s="1" t="str">
        <f>""</f>
        <v/>
      </c>
      <c r="K1464" s="1" t="str">
        <f>""</f>
        <v/>
      </c>
      <c r="L1464" s="1" t="str">
        <f t="shared" si="457"/>
        <v>R</v>
      </c>
      <c r="M1464" s="1" t="str">
        <f>""</f>
        <v/>
      </c>
      <c r="N1464" s="1" t="str">
        <f t="shared" si="458"/>
        <v>Y</v>
      </c>
      <c r="O1464" s="1" t="str">
        <f t="shared" si="455"/>
        <v>Y</v>
      </c>
      <c r="P1464" s="1" t="str">
        <f t="shared" si="460"/>
        <v>Y</v>
      </c>
      <c r="Q1464" s="1" t="str">
        <f t="shared" si="456"/>
        <v>A</v>
      </c>
    </row>
    <row r="1465" spans="1:17" x14ac:dyDescent="0.3">
      <c r="A1465" s="1" t="str">
        <f t="shared" si="461"/>
        <v>JB</v>
      </c>
      <c r="B1465" s="1" t="str">
        <f>"SONJB10"</f>
        <v>SONJB10</v>
      </c>
      <c r="C1465" s="1" t="str">
        <f>"담낭 결석"</f>
        <v>담낭 결석</v>
      </c>
      <c r="D1465" s="1" t="str">
        <f>"복부초음파 검사에서 담낭내에 결석이 발견됩니다. 결석은 그 자체로는 별 문제가 없으나 장기내에서 움직이다 담관 등을 막는 경우 염증과 함께 격심한 통증을 유발할 수 있습니다. 초음파 검사로 변화를 관찰하는 것이 필요합니다."</f>
        <v>복부초음파 검사에서 담낭내에 결석이 발견됩니다. 결석은 그 자체로는 별 문제가 없으나 장기내에서 움직이다 담관 등을 막는 경우 염증과 함께 격심한 통증을 유발할 수 있습니다. 초음파 검사로 변화를 관찰하는 것이 필요합니다.</v>
      </c>
      <c r="E1465" s="1" t="str">
        <f>""</f>
        <v/>
      </c>
      <c r="F1465" s="1" t="str">
        <f>""</f>
        <v/>
      </c>
      <c r="G1465" s="1" t="str">
        <f>""</f>
        <v/>
      </c>
      <c r="H1465" s="1" t="str">
        <f>""</f>
        <v/>
      </c>
      <c r="I1465" s="1" t="str">
        <f>""</f>
        <v/>
      </c>
      <c r="J1465" s="1" t="str">
        <f>""</f>
        <v/>
      </c>
      <c r="K1465" s="1" t="str">
        <f>""</f>
        <v/>
      </c>
      <c r="L1465" s="1" t="str">
        <f t="shared" si="457"/>
        <v>R</v>
      </c>
      <c r="M1465" s="1" t="str">
        <f>""</f>
        <v/>
      </c>
      <c r="N1465" s="1" t="str">
        <f t="shared" si="458"/>
        <v>Y</v>
      </c>
      <c r="O1465" s="1" t="str">
        <f t="shared" si="455"/>
        <v>Y</v>
      </c>
      <c r="P1465" s="1" t="str">
        <f t="shared" si="460"/>
        <v>Y</v>
      </c>
      <c r="Q1465" s="1" t="str">
        <f t="shared" si="456"/>
        <v>A</v>
      </c>
    </row>
    <row r="1466" spans="1:17" x14ac:dyDescent="0.3">
      <c r="A1466" s="1" t="str">
        <f t="shared" si="461"/>
        <v>JB</v>
      </c>
      <c r="B1466" s="1" t="str">
        <f>"SONJB11"</f>
        <v>SONJB11</v>
      </c>
      <c r="C1466" s="1" t="str">
        <f>"담낭 콜레스테롤증"</f>
        <v>담낭 콜레스테롤증</v>
      </c>
      <c r="D1466" s="1" t="str">
        <f>"복부 초음파 검사결과 담낭 콜레스테롤증 소견이 보입니다. 경과관찰하시기 바랍니다."</f>
        <v>복부 초음파 검사결과 담낭 콜레스테롤증 소견이 보입니다. 경과관찰하시기 바랍니다.</v>
      </c>
      <c r="E1466" s="1" t="str">
        <f>""</f>
        <v/>
      </c>
      <c r="F1466" s="1" t="str">
        <f>""</f>
        <v/>
      </c>
      <c r="G1466" s="1" t="str">
        <f>""</f>
        <v/>
      </c>
      <c r="H1466" s="1" t="str">
        <f>""</f>
        <v/>
      </c>
      <c r="I1466" s="1" t="str">
        <f>""</f>
        <v/>
      </c>
      <c r="J1466" s="1" t="str">
        <f>""</f>
        <v/>
      </c>
      <c r="K1466" s="1" t="str">
        <f>""</f>
        <v/>
      </c>
      <c r="L1466" s="1" t="str">
        <f t="shared" si="457"/>
        <v>R</v>
      </c>
      <c r="M1466" s="1" t="str">
        <f>""</f>
        <v/>
      </c>
      <c r="N1466" s="1" t="str">
        <f t="shared" si="458"/>
        <v>Y</v>
      </c>
      <c r="O1466" s="1" t="str">
        <f t="shared" ref="O1466:O1529" si="462">"Y"</f>
        <v>Y</v>
      </c>
      <c r="P1466" s="1" t="str">
        <f t="shared" si="460"/>
        <v>Y</v>
      </c>
      <c r="Q1466" s="1" t="str">
        <f t="shared" si="456"/>
        <v>A</v>
      </c>
    </row>
    <row r="1467" spans="1:17" x14ac:dyDescent="0.3">
      <c r="A1467" s="1" t="str">
        <f t="shared" si="461"/>
        <v>JB</v>
      </c>
      <c r="B1467" s="1" t="str">
        <f>"SONJB12"</f>
        <v>SONJB12</v>
      </c>
      <c r="C1467" s="1" t="str">
        <f>"좌신 낭종"</f>
        <v>좌신 낭종</v>
      </c>
      <c r="D1467" s="1" t="str">
        <f>"복부초음파 검사에서 신장에 낭종이 나타납니다. 낭종(물혹)은 대부분 악성이 아니므로 크게 걱정하실 필요는 없으나 경과관찰을 권합니다"</f>
        <v>복부초음파 검사에서 신장에 낭종이 나타납니다. 낭종(물혹)은 대부분 악성이 아니므로 크게 걱정하실 필요는 없으나 경과관찰을 권합니다</v>
      </c>
      <c r="E1467" s="1" t="str">
        <f>""</f>
        <v/>
      </c>
      <c r="F1467" s="1" t="str">
        <f>""</f>
        <v/>
      </c>
      <c r="G1467" s="1" t="str">
        <f>""</f>
        <v/>
      </c>
      <c r="H1467" s="1" t="str">
        <f>""</f>
        <v/>
      </c>
      <c r="I1467" s="1" t="str">
        <f>""</f>
        <v/>
      </c>
      <c r="J1467" s="1" t="str">
        <f>""</f>
        <v/>
      </c>
      <c r="K1467" s="1" t="str">
        <f>""</f>
        <v/>
      </c>
      <c r="L1467" s="1" t="str">
        <f t="shared" si="457"/>
        <v>R</v>
      </c>
      <c r="M1467" s="1" t="str">
        <f>""</f>
        <v/>
      </c>
      <c r="N1467" s="1" t="str">
        <f t="shared" si="458"/>
        <v>Y</v>
      </c>
      <c r="O1467" s="1" t="str">
        <f t="shared" si="462"/>
        <v>Y</v>
      </c>
      <c r="P1467" s="1" t="str">
        <f t="shared" si="460"/>
        <v>Y</v>
      </c>
      <c r="Q1467" s="1" t="str">
        <f t="shared" si="456"/>
        <v>A</v>
      </c>
    </row>
    <row r="1468" spans="1:17" x14ac:dyDescent="0.3">
      <c r="A1468" s="1" t="str">
        <f t="shared" si="461"/>
        <v>JB</v>
      </c>
      <c r="B1468" s="1" t="str">
        <f>"SONJB13"</f>
        <v>SONJB13</v>
      </c>
      <c r="C1468" s="1" t="str">
        <f>"우신 낭종"</f>
        <v>우신 낭종</v>
      </c>
      <c r="D1468" s="1" t="str">
        <f>"복부초음파 검사에서 신장에 낭종이 나타납니다. 낭종(물혹)은 대부분 악성이 아니므로 크게 걱정하실 필요는 없으나 경과관찰을 권합니다"</f>
        <v>복부초음파 검사에서 신장에 낭종이 나타납니다. 낭종(물혹)은 대부분 악성이 아니므로 크게 걱정하실 필요는 없으나 경과관찰을 권합니다</v>
      </c>
      <c r="E1468" s="1" t="str">
        <f>""</f>
        <v/>
      </c>
      <c r="F1468" s="1" t="str">
        <f>""</f>
        <v/>
      </c>
      <c r="G1468" s="1" t="str">
        <f>""</f>
        <v/>
      </c>
      <c r="H1468" s="1" t="str">
        <f>""</f>
        <v/>
      </c>
      <c r="I1468" s="1" t="str">
        <f>""</f>
        <v/>
      </c>
      <c r="J1468" s="1" t="str">
        <f>""</f>
        <v/>
      </c>
      <c r="K1468" s="1" t="str">
        <f>""</f>
        <v/>
      </c>
      <c r="L1468" s="1" t="str">
        <f t="shared" si="457"/>
        <v>R</v>
      </c>
      <c r="M1468" s="1" t="str">
        <f>""</f>
        <v/>
      </c>
      <c r="N1468" s="1" t="str">
        <f t="shared" si="458"/>
        <v>Y</v>
      </c>
      <c r="O1468" s="1" t="str">
        <f t="shared" si="462"/>
        <v>Y</v>
      </c>
      <c r="P1468" s="1" t="str">
        <f t="shared" si="460"/>
        <v>Y</v>
      </c>
      <c r="Q1468" s="1" t="str">
        <f t="shared" ref="Q1468:Q1531" si="463">"A"</f>
        <v>A</v>
      </c>
    </row>
    <row r="1469" spans="1:17" x14ac:dyDescent="0.3">
      <c r="A1469" s="1" t="str">
        <f t="shared" si="461"/>
        <v>JB</v>
      </c>
      <c r="B1469" s="1" t="str">
        <f>"SONJB14"</f>
        <v>SONJB14</v>
      </c>
      <c r="C1469" s="1" t="str">
        <f>"양측 신장 낭종"</f>
        <v>양측 신장 낭종</v>
      </c>
      <c r="D1469" s="1" t="str">
        <f>"복부초음파 검사에서 신장에 낭종이 나타납니다. 낭종(물혹)은 대부분 악성이 아니므로 크게 걱정하실 필요는 없으나 경과관찰을 권합니다"</f>
        <v>복부초음파 검사에서 신장에 낭종이 나타납니다. 낭종(물혹)은 대부분 악성이 아니므로 크게 걱정하실 필요는 없으나 경과관찰을 권합니다</v>
      </c>
      <c r="E1469" s="1" t="str">
        <f>""</f>
        <v/>
      </c>
      <c r="F1469" s="1" t="str">
        <f>""</f>
        <v/>
      </c>
      <c r="G1469" s="1" t="str">
        <f>""</f>
        <v/>
      </c>
      <c r="H1469" s="1" t="str">
        <f>""</f>
        <v/>
      </c>
      <c r="I1469" s="1" t="str">
        <f>""</f>
        <v/>
      </c>
      <c r="J1469" s="1" t="str">
        <f>""</f>
        <v/>
      </c>
      <c r="K1469" s="1" t="str">
        <f>""</f>
        <v/>
      </c>
      <c r="L1469" s="1" t="str">
        <f t="shared" si="457"/>
        <v>R</v>
      </c>
      <c r="M1469" s="1" t="str">
        <f>""</f>
        <v/>
      </c>
      <c r="N1469" s="1" t="str">
        <f t="shared" si="458"/>
        <v>Y</v>
      </c>
      <c r="O1469" s="1" t="str">
        <f t="shared" si="462"/>
        <v>Y</v>
      </c>
      <c r="P1469" s="1" t="str">
        <f t="shared" si="460"/>
        <v>Y</v>
      </c>
      <c r="Q1469" s="1" t="str">
        <f t="shared" si="463"/>
        <v>A</v>
      </c>
    </row>
    <row r="1470" spans="1:17" x14ac:dyDescent="0.3">
      <c r="A1470" s="1" t="str">
        <f t="shared" si="461"/>
        <v>JB</v>
      </c>
      <c r="B1470" s="1" t="str">
        <f>"SONJB15"</f>
        <v>SONJB15</v>
      </c>
      <c r="C1470" s="1" t="str">
        <f>"췌장 위축"</f>
        <v>췌장 위축</v>
      </c>
      <c r="D1470" s="1" t="s">
        <v>430</v>
      </c>
      <c r="E1470" s="1" t="str">
        <f>""</f>
        <v/>
      </c>
      <c r="F1470" s="1" t="str">
        <f>""</f>
        <v/>
      </c>
      <c r="G1470" s="1" t="str">
        <f>""</f>
        <v/>
      </c>
      <c r="H1470" s="1" t="str">
        <f>""</f>
        <v/>
      </c>
      <c r="I1470" s="1" t="str">
        <f>""</f>
        <v/>
      </c>
      <c r="J1470" s="1" t="str">
        <f>""</f>
        <v/>
      </c>
      <c r="K1470" s="1" t="str">
        <f>""</f>
        <v/>
      </c>
      <c r="L1470" s="1" t="str">
        <f t="shared" si="457"/>
        <v>R</v>
      </c>
      <c r="M1470" s="1" t="str">
        <f>""</f>
        <v/>
      </c>
      <c r="N1470" s="1" t="str">
        <f t="shared" si="458"/>
        <v>Y</v>
      </c>
      <c r="O1470" s="1" t="str">
        <f t="shared" si="462"/>
        <v>Y</v>
      </c>
      <c r="P1470" s="1" t="str">
        <f t="shared" si="460"/>
        <v>Y</v>
      </c>
      <c r="Q1470" s="1" t="str">
        <f t="shared" si="463"/>
        <v>A</v>
      </c>
    </row>
    <row r="1471" spans="1:17" x14ac:dyDescent="0.3">
      <c r="A1471" s="1" t="str">
        <f t="shared" si="461"/>
        <v>JB</v>
      </c>
      <c r="B1471" s="1" t="str">
        <f>"SONJB16"</f>
        <v>SONJB16</v>
      </c>
      <c r="C1471" s="1" t="str">
        <f>"췌장 관찰 불가"</f>
        <v>췌장 관찰 불가</v>
      </c>
      <c r="D1471" s="1" t="s">
        <v>431</v>
      </c>
      <c r="E1471" s="1" t="str">
        <f>""</f>
        <v/>
      </c>
      <c r="F1471" s="1" t="str">
        <f>""</f>
        <v/>
      </c>
      <c r="G1471" s="1" t="str">
        <f>""</f>
        <v/>
      </c>
      <c r="H1471" s="1" t="str">
        <f>""</f>
        <v/>
      </c>
      <c r="I1471" s="1" t="str">
        <f>""</f>
        <v/>
      </c>
      <c r="J1471" s="1" t="str">
        <f>""</f>
        <v/>
      </c>
      <c r="K1471" s="1" t="str">
        <f>""</f>
        <v/>
      </c>
      <c r="L1471" s="1" t="str">
        <f t="shared" si="457"/>
        <v>R</v>
      </c>
      <c r="M1471" s="1" t="str">
        <f>""</f>
        <v/>
      </c>
      <c r="N1471" s="1" t="str">
        <f t="shared" si="458"/>
        <v>Y</v>
      </c>
      <c r="O1471" s="1" t="str">
        <f t="shared" si="462"/>
        <v>Y</v>
      </c>
      <c r="P1471" s="1" t="str">
        <f t="shared" si="460"/>
        <v>Y</v>
      </c>
      <c r="Q1471" s="1" t="str">
        <f t="shared" si="463"/>
        <v>A</v>
      </c>
    </row>
    <row r="1472" spans="1:17" x14ac:dyDescent="0.3">
      <c r="A1472" s="1" t="str">
        <f t="shared" si="461"/>
        <v>JB</v>
      </c>
      <c r="B1472" s="1" t="str">
        <f>"SONJB17"</f>
        <v>SONJB17</v>
      </c>
      <c r="C1472" s="1" t="str">
        <f>"지난 소견과 변화 없음"</f>
        <v>지난 소견과 변화 없음</v>
      </c>
      <c r="D1472" s="1" t="s">
        <v>432</v>
      </c>
      <c r="E1472" s="1" t="str">
        <f>""</f>
        <v/>
      </c>
      <c r="F1472" s="1" t="str">
        <f>""</f>
        <v/>
      </c>
      <c r="G1472" s="1" t="str">
        <f>""</f>
        <v/>
      </c>
      <c r="H1472" s="1" t="str">
        <f>""</f>
        <v/>
      </c>
      <c r="I1472" s="1" t="str">
        <f>""</f>
        <v/>
      </c>
      <c r="J1472" s="1" t="str">
        <f>""</f>
        <v/>
      </c>
      <c r="K1472" s="1" t="str">
        <f>""</f>
        <v/>
      </c>
      <c r="L1472" s="1" t="str">
        <f t="shared" si="457"/>
        <v>R</v>
      </c>
      <c r="M1472" s="1" t="str">
        <f>""</f>
        <v/>
      </c>
      <c r="N1472" s="1" t="str">
        <f t="shared" si="458"/>
        <v>Y</v>
      </c>
      <c r="O1472" s="1" t="str">
        <f t="shared" si="462"/>
        <v>Y</v>
      </c>
      <c r="P1472" s="1" t="str">
        <f t="shared" si="460"/>
        <v>Y</v>
      </c>
      <c r="Q1472" s="1" t="str">
        <f t="shared" si="463"/>
        <v>A</v>
      </c>
    </row>
    <row r="1473" spans="1:17" x14ac:dyDescent="0.3">
      <c r="A1473" s="1" t="str">
        <f t="shared" si="461"/>
        <v>JB</v>
      </c>
      <c r="B1473" s="1" t="str">
        <f>"SONJB18"</f>
        <v>SONJB18</v>
      </c>
      <c r="C1473" s="1" t="s">
        <v>433</v>
      </c>
      <c r="D1473" s="1" t="s">
        <v>434</v>
      </c>
      <c r="E1473" s="1" t="str">
        <f>""</f>
        <v/>
      </c>
      <c r="F1473" s="1" t="str">
        <f>""</f>
        <v/>
      </c>
      <c r="G1473" s="1" t="str">
        <f>""</f>
        <v/>
      </c>
      <c r="H1473" s="1" t="str">
        <f>""</f>
        <v/>
      </c>
      <c r="I1473" s="1" t="str">
        <f>""</f>
        <v/>
      </c>
      <c r="J1473" s="1" t="str">
        <f>""</f>
        <v/>
      </c>
      <c r="K1473" s="1" t="str">
        <f>""</f>
        <v/>
      </c>
      <c r="L1473" s="1" t="str">
        <f t="shared" si="457"/>
        <v>R</v>
      </c>
      <c r="M1473" s="1" t="str">
        <f>""</f>
        <v/>
      </c>
      <c r="N1473" s="1" t="str">
        <f t="shared" si="458"/>
        <v>Y</v>
      </c>
      <c r="O1473" s="1" t="str">
        <f t="shared" si="462"/>
        <v>Y</v>
      </c>
      <c r="P1473" s="1" t="str">
        <f t="shared" si="460"/>
        <v>Y</v>
      </c>
      <c r="Q1473" s="1" t="str">
        <f t="shared" si="463"/>
        <v>A</v>
      </c>
    </row>
    <row r="1474" spans="1:17" x14ac:dyDescent="0.3">
      <c r="A1474" s="1" t="str">
        <f t="shared" si="461"/>
        <v>JB</v>
      </c>
      <c r="B1474" s="1" t="str">
        <f>"SONJB19"</f>
        <v>SONJB19</v>
      </c>
      <c r="C1474" s="1" t="s">
        <v>435</v>
      </c>
      <c r="D1474" s="1" t="str">
        <f>"복부 초음파 검사 결과 지방간과 간 석회화 소견이 보입니다. 금주 및 규칙적 운동을 통하여 건강관리하시고 정기적인 검진을 통하여 경과관찰하시기 바랍니다."</f>
        <v>복부 초음파 검사 결과 지방간과 간 석회화 소견이 보입니다. 금주 및 규칙적 운동을 통하여 건강관리하시고 정기적인 검진을 통하여 경과관찰하시기 바랍니다.</v>
      </c>
      <c r="E1474" s="1" t="str">
        <f>""</f>
        <v/>
      </c>
      <c r="F1474" s="1" t="str">
        <f>""</f>
        <v/>
      </c>
      <c r="G1474" s="1" t="str">
        <f>""</f>
        <v/>
      </c>
      <c r="H1474" s="1" t="str">
        <f>""</f>
        <v/>
      </c>
      <c r="I1474" s="1" t="str">
        <f>""</f>
        <v/>
      </c>
      <c r="J1474" s="1" t="str">
        <f>""</f>
        <v/>
      </c>
      <c r="K1474" s="1" t="str">
        <f>""</f>
        <v/>
      </c>
      <c r="L1474" s="1" t="str">
        <f t="shared" si="457"/>
        <v>R</v>
      </c>
      <c r="M1474" s="1" t="str">
        <f>""</f>
        <v/>
      </c>
      <c r="N1474" s="1" t="str">
        <f t="shared" si="458"/>
        <v>Y</v>
      </c>
      <c r="O1474" s="1" t="str">
        <f t="shared" si="462"/>
        <v>Y</v>
      </c>
      <c r="P1474" s="1" t="str">
        <f t="shared" si="460"/>
        <v>Y</v>
      </c>
      <c r="Q1474" s="1" t="str">
        <f t="shared" si="463"/>
        <v>A</v>
      </c>
    </row>
    <row r="1475" spans="1:17" x14ac:dyDescent="0.3">
      <c r="A1475" s="1" t="str">
        <f t="shared" si="461"/>
        <v>JB</v>
      </c>
      <c r="B1475" s="1" t="str">
        <f>"SONJB20"</f>
        <v>SONJB20</v>
      </c>
      <c r="C1475" s="1" t="s">
        <v>436</v>
      </c>
      <c r="D1475" s="1" t="s">
        <v>437</v>
      </c>
      <c r="E1475" s="1" t="str">
        <f>""</f>
        <v/>
      </c>
      <c r="F1475" s="1" t="str">
        <f>""</f>
        <v/>
      </c>
      <c r="G1475" s="1" t="str">
        <f>""</f>
        <v/>
      </c>
      <c r="H1475" s="1" t="str">
        <f>""</f>
        <v/>
      </c>
      <c r="I1475" s="1" t="str">
        <f>""</f>
        <v/>
      </c>
      <c r="J1475" s="1" t="str">
        <f>""</f>
        <v/>
      </c>
      <c r="K1475" s="1" t="str">
        <f>""</f>
        <v/>
      </c>
      <c r="L1475" s="1" t="str">
        <f t="shared" si="457"/>
        <v>R</v>
      </c>
      <c r="M1475" s="1" t="str">
        <f>""</f>
        <v/>
      </c>
      <c r="N1475" s="1" t="str">
        <f t="shared" si="458"/>
        <v>Y</v>
      </c>
      <c r="O1475" s="1" t="str">
        <f t="shared" si="462"/>
        <v>Y</v>
      </c>
      <c r="P1475" s="1" t="str">
        <f t="shared" si="460"/>
        <v>Y</v>
      </c>
      <c r="Q1475" s="1" t="str">
        <f t="shared" si="463"/>
        <v>A</v>
      </c>
    </row>
    <row r="1476" spans="1:17" x14ac:dyDescent="0.3">
      <c r="A1476" s="1" t="str">
        <f t="shared" si="461"/>
        <v>JB</v>
      </c>
      <c r="B1476" s="1" t="str">
        <f>"SONJB21"</f>
        <v>SONJB21</v>
      </c>
      <c r="C1476" s="1" t="s">
        <v>438</v>
      </c>
      <c r="D1476" s="1" t="s">
        <v>439</v>
      </c>
      <c r="E1476" s="1" t="str">
        <f>""</f>
        <v/>
      </c>
      <c r="F1476" s="1" t="str">
        <f>""</f>
        <v/>
      </c>
      <c r="G1476" s="1" t="str">
        <f>""</f>
        <v/>
      </c>
      <c r="H1476" s="1" t="str">
        <f>""</f>
        <v/>
      </c>
      <c r="I1476" s="1" t="str">
        <f>""</f>
        <v/>
      </c>
      <c r="J1476" s="1" t="str">
        <f>""</f>
        <v/>
      </c>
      <c r="K1476" s="1" t="str">
        <f>""</f>
        <v/>
      </c>
      <c r="L1476" s="1" t="str">
        <f t="shared" si="457"/>
        <v>R</v>
      </c>
      <c r="M1476" s="1" t="str">
        <f>""</f>
        <v/>
      </c>
      <c r="N1476" s="1" t="str">
        <f t="shared" si="458"/>
        <v>Y</v>
      </c>
      <c r="O1476" s="1" t="str">
        <f t="shared" si="462"/>
        <v>Y</v>
      </c>
      <c r="P1476" s="1" t="str">
        <f t="shared" si="460"/>
        <v>Y</v>
      </c>
      <c r="Q1476" s="1" t="str">
        <f t="shared" si="463"/>
        <v>A</v>
      </c>
    </row>
    <row r="1477" spans="1:17" x14ac:dyDescent="0.3">
      <c r="A1477" s="1" t="str">
        <f t="shared" si="461"/>
        <v>JB</v>
      </c>
      <c r="B1477" s="1" t="str">
        <f>"SONJB22"</f>
        <v>SONJB22</v>
      </c>
      <c r="C1477" s="1" t="s">
        <v>440</v>
      </c>
      <c r="D1477" s="1" t="s">
        <v>441</v>
      </c>
      <c r="E1477" s="1" t="str">
        <f>""</f>
        <v/>
      </c>
      <c r="F1477" s="1" t="str">
        <f>""</f>
        <v/>
      </c>
      <c r="G1477" s="1" t="str">
        <f>""</f>
        <v/>
      </c>
      <c r="H1477" s="1" t="str">
        <f>""</f>
        <v/>
      </c>
      <c r="I1477" s="1" t="str">
        <f>""</f>
        <v/>
      </c>
      <c r="J1477" s="1" t="str">
        <f>""</f>
        <v/>
      </c>
      <c r="K1477" s="1" t="str">
        <f>""</f>
        <v/>
      </c>
      <c r="L1477" s="1" t="str">
        <f t="shared" ref="L1477:L1540" si="464">"R"</f>
        <v>R</v>
      </c>
      <c r="M1477" s="1" t="str">
        <f>""</f>
        <v/>
      </c>
      <c r="N1477" s="1" t="str">
        <f t="shared" ref="N1477:N1540" si="465">"Y"</f>
        <v>Y</v>
      </c>
      <c r="O1477" s="1" t="str">
        <f t="shared" si="462"/>
        <v>Y</v>
      </c>
      <c r="P1477" s="1" t="str">
        <f t="shared" si="460"/>
        <v>Y</v>
      </c>
      <c r="Q1477" s="1" t="str">
        <f t="shared" si="463"/>
        <v>A</v>
      </c>
    </row>
    <row r="1478" spans="1:17" x14ac:dyDescent="0.3">
      <c r="A1478" s="1" t="str">
        <f t="shared" si="461"/>
        <v>JB</v>
      </c>
      <c r="B1478" s="1" t="str">
        <f>"SONJB23"</f>
        <v>SONJB23</v>
      </c>
      <c r="C1478" s="1" t="str">
        <f>"췌장 관찰 불가"</f>
        <v>췌장 관찰 불가</v>
      </c>
      <c r="D1478" s="1" t="str">
        <f>"복부 초음파검사 결과 장가스로 인하여 췌장의 일부가 잘 보이지 않습니다. 금식이 제대로 되지않아 나타나는 현상일 수도 있으나 추후 내원하셔서 경과관찰하시기 바랍니다."</f>
        <v>복부 초음파검사 결과 장가스로 인하여 췌장의 일부가 잘 보이지 않습니다. 금식이 제대로 되지않아 나타나는 현상일 수도 있으나 추후 내원하셔서 경과관찰하시기 바랍니다.</v>
      </c>
      <c r="E1478" s="1" t="str">
        <f>""</f>
        <v/>
      </c>
      <c r="F1478" s="1" t="str">
        <f>""</f>
        <v/>
      </c>
      <c r="G1478" s="1" t="str">
        <f>""</f>
        <v/>
      </c>
      <c r="H1478" s="1" t="str">
        <f>""</f>
        <v/>
      </c>
      <c r="I1478" s="1" t="str">
        <f>""</f>
        <v/>
      </c>
      <c r="J1478" s="1" t="str">
        <f>""</f>
        <v/>
      </c>
      <c r="K1478" s="1" t="str">
        <f>""</f>
        <v/>
      </c>
      <c r="L1478" s="1" t="str">
        <f t="shared" si="464"/>
        <v>R</v>
      </c>
      <c r="M1478" s="1" t="str">
        <f>""</f>
        <v/>
      </c>
      <c r="N1478" s="1" t="str">
        <f t="shared" si="465"/>
        <v>Y</v>
      </c>
      <c r="O1478" s="1" t="str">
        <f t="shared" si="462"/>
        <v>Y</v>
      </c>
      <c r="P1478" s="1" t="str">
        <f t="shared" si="460"/>
        <v>Y</v>
      </c>
      <c r="Q1478" s="1" t="str">
        <f t="shared" si="463"/>
        <v>A</v>
      </c>
    </row>
    <row r="1479" spans="1:17" x14ac:dyDescent="0.3">
      <c r="A1479" s="1" t="str">
        <f t="shared" si="461"/>
        <v>JB</v>
      </c>
      <c r="B1479" s="1" t="str">
        <f>"SONJB24"</f>
        <v>SONJB24</v>
      </c>
      <c r="C1479" s="1" t="str">
        <f>"담낭 위축"</f>
        <v>담낭 위축</v>
      </c>
      <c r="D1479" s="1" t="str">
        <f>"복부 초음파 검사에서 담낭위축 등 담도계 이상 소견이 발견됩니다. 경미한 소견일 수도 있으나 금식상태를 정확히 지킨 후에 추적관찰 하시기 바랍니다."</f>
        <v>복부 초음파 검사에서 담낭위축 등 담도계 이상 소견이 발견됩니다. 경미한 소견일 수도 있으나 금식상태를 정확히 지킨 후에 추적관찰 하시기 바랍니다.</v>
      </c>
      <c r="E1479" s="1" t="str">
        <f>""</f>
        <v/>
      </c>
      <c r="F1479" s="1" t="str">
        <f>""</f>
        <v/>
      </c>
      <c r="G1479" s="1" t="str">
        <f>""</f>
        <v/>
      </c>
      <c r="H1479" s="1" t="str">
        <f>""</f>
        <v/>
      </c>
      <c r="I1479" s="1" t="str">
        <f>""</f>
        <v/>
      </c>
      <c r="J1479" s="1" t="str">
        <f>""</f>
        <v/>
      </c>
      <c r="K1479" s="1" t="str">
        <f>""</f>
        <v/>
      </c>
      <c r="L1479" s="1" t="str">
        <f t="shared" si="464"/>
        <v>R</v>
      </c>
      <c r="M1479" s="1" t="str">
        <f>""</f>
        <v/>
      </c>
      <c r="N1479" s="1" t="str">
        <f t="shared" si="465"/>
        <v>Y</v>
      </c>
      <c r="O1479" s="1" t="str">
        <f t="shared" si="462"/>
        <v>Y</v>
      </c>
      <c r="P1479" s="1" t="str">
        <f t="shared" si="460"/>
        <v>Y</v>
      </c>
      <c r="Q1479" s="1" t="str">
        <f t="shared" si="463"/>
        <v>A</v>
      </c>
    </row>
    <row r="1480" spans="1:17" x14ac:dyDescent="0.3">
      <c r="A1480" s="1" t="str">
        <f t="shared" ref="A1480:A1492" si="466">"JB"</f>
        <v>JB</v>
      </c>
      <c r="B1480" s="1" t="str">
        <f>"SONJB25"</f>
        <v>SONJB25</v>
      </c>
      <c r="C1480" s="1" t="s">
        <v>442</v>
      </c>
      <c r="D1480" s="1" t="str">
        <f>"복부 초음파검사 결과 간 및 신장에 낭종소견이 관찰됩니다. 낭종은 그 자체만으로는 특별한 조치가 필요하진 않지만 매년 초음파를 통하여 크기의 변화를 관찰하시기 바랍니다."</f>
        <v>복부 초음파검사 결과 간 및 신장에 낭종소견이 관찰됩니다. 낭종은 그 자체만으로는 특별한 조치가 필요하진 않지만 매년 초음파를 통하여 크기의 변화를 관찰하시기 바랍니다.</v>
      </c>
      <c r="E1480" s="1" t="str">
        <f>""</f>
        <v/>
      </c>
      <c r="F1480" s="1" t="str">
        <f>""</f>
        <v/>
      </c>
      <c r="G1480" s="1" t="str">
        <f>""</f>
        <v/>
      </c>
      <c r="H1480" s="1" t="str">
        <f>""</f>
        <v/>
      </c>
      <c r="I1480" s="1" t="str">
        <f>""</f>
        <v/>
      </c>
      <c r="J1480" s="1" t="str">
        <f>""</f>
        <v/>
      </c>
      <c r="K1480" s="1" t="str">
        <f>""</f>
        <v/>
      </c>
      <c r="L1480" s="1" t="str">
        <f t="shared" si="464"/>
        <v>R</v>
      </c>
      <c r="M1480" s="1" t="str">
        <f>""</f>
        <v/>
      </c>
      <c r="N1480" s="1" t="str">
        <f t="shared" si="465"/>
        <v>Y</v>
      </c>
      <c r="O1480" s="1" t="str">
        <f t="shared" si="462"/>
        <v>Y</v>
      </c>
      <c r="P1480" s="1" t="str">
        <f t="shared" si="460"/>
        <v>Y</v>
      </c>
      <c r="Q1480" s="1" t="str">
        <f t="shared" si="463"/>
        <v>A</v>
      </c>
    </row>
    <row r="1481" spans="1:17" x14ac:dyDescent="0.3">
      <c r="A1481" s="1" t="str">
        <f t="shared" si="466"/>
        <v>JB</v>
      </c>
      <c r="B1481" s="1" t="str">
        <f>"THYJB01"</f>
        <v>THYJB01</v>
      </c>
      <c r="C1481" s="1" t="str">
        <f>"1cm미만 갑상선 결절"</f>
        <v>1cm미만 갑상선 결절</v>
      </c>
      <c r="D1481" s="1" t="str">
        <f>"갑상선에 결절(혹)이 보입니다. 크기가 1cm보다 작은 경우는 대부분 양성이지만 주기적인 검사를 통해서 변화여부를 확인하는것이 필요합니다."</f>
        <v>갑상선에 결절(혹)이 보입니다. 크기가 1cm보다 작은 경우는 대부분 양성이지만 주기적인 검사를 통해서 변화여부를 확인하는것이 필요합니다.</v>
      </c>
      <c r="E1481" s="1" t="str">
        <f>""</f>
        <v/>
      </c>
      <c r="F1481" s="1" t="str">
        <f>""</f>
        <v/>
      </c>
      <c r="G1481" s="1" t="str">
        <f>""</f>
        <v/>
      </c>
      <c r="H1481" s="1" t="str">
        <f>""</f>
        <v/>
      </c>
      <c r="I1481" s="1" t="str">
        <f>""</f>
        <v/>
      </c>
      <c r="J1481" s="1" t="str">
        <f>""</f>
        <v/>
      </c>
      <c r="K1481" s="1" t="str">
        <f>""</f>
        <v/>
      </c>
      <c r="L1481" s="1" t="str">
        <f t="shared" si="464"/>
        <v>R</v>
      </c>
      <c r="M1481" s="1" t="str">
        <f>""</f>
        <v/>
      </c>
      <c r="N1481" s="1" t="str">
        <f t="shared" si="465"/>
        <v>Y</v>
      </c>
      <c r="O1481" s="1" t="str">
        <f t="shared" si="462"/>
        <v>Y</v>
      </c>
      <c r="P1481" s="1" t="str">
        <f t="shared" si="460"/>
        <v>Y</v>
      </c>
      <c r="Q1481" s="1" t="str">
        <f t="shared" si="463"/>
        <v>A</v>
      </c>
    </row>
    <row r="1482" spans="1:17" x14ac:dyDescent="0.3">
      <c r="A1482" s="1" t="str">
        <f t="shared" si="466"/>
        <v>JB</v>
      </c>
      <c r="B1482" s="1" t="str">
        <f>"THYJB02"</f>
        <v>THYJB02</v>
      </c>
      <c r="C1482" s="1" t="str">
        <f>"1cm미만 갑상선 낭종"</f>
        <v>1cm미만 갑상선 낭종</v>
      </c>
      <c r="D1482" s="1" t="str">
        <f>"갑상선에 낭종(물혹)이 보입니다. 대부분의 경우 기능상에도 이상이 없고 악성으로 변하는 경우도 거의 없습니다. 주기적으로 검사를 받아보시기 바랍니다."</f>
        <v>갑상선에 낭종(물혹)이 보입니다. 대부분의 경우 기능상에도 이상이 없고 악성으로 변하는 경우도 거의 없습니다. 주기적으로 검사를 받아보시기 바랍니다.</v>
      </c>
      <c r="E1482" s="1" t="str">
        <f>""</f>
        <v/>
      </c>
      <c r="F1482" s="1" t="str">
        <f>""</f>
        <v/>
      </c>
      <c r="G1482" s="1" t="str">
        <f>""</f>
        <v/>
      </c>
      <c r="H1482" s="1" t="str">
        <f>""</f>
        <v/>
      </c>
      <c r="I1482" s="1" t="str">
        <f>""</f>
        <v/>
      </c>
      <c r="J1482" s="1" t="str">
        <f>""</f>
        <v/>
      </c>
      <c r="K1482" s="1" t="str">
        <f>""</f>
        <v/>
      </c>
      <c r="L1482" s="1" t="str">
        <f t="shared" si="464"/>
        <v>R</v>
      </c>
      <c r="M1482" s="1" t="str">
        <f>""</f>
        <v/>
      </c>
      <c r="N1482" s="1" t="str">
        <f t="shared" si="465"/>
        <v>Y</v>
      </c>
      <c r="O1482" s="1" t="str">
        <f t="shared" si="462"/>
        <v>Y</v>
      </c>
      <c r="P1482" s="1" t="str">
        <f t="shared" ref="P1482:P1545" si="467">"Y"</f>
        <v>Y</v>
      </c>
      <c r="Q1482" s="1" t="str">
        <f t="shared" si="463"/>
        <v>A</v>
      </c>
    </row>
    <row r="1483" spans="1:17" x14ac:dyDescent="0.3">
      <c r="A1483" s="1" t="str">
        <f t="shared" si="466"/>
        <v>JB</v>
      </c>
      <c r="B1483" s="1" t="str">
        <f>"UABJB01"</f>
        <v>UABJB01</v>
      </c>
      <c r="C1483" s="1" t="str">
        <f>"혈뇨검출"</f>
        <v>혈뇨검출</v>
      </c>
      <c r="D1483" s="1" t="s">
        <v>50</v>
      </c>
      <c r="E1483" s="1" t="str">
        <f>"WOK01"</f>
        <v>WOK01</v>
      </c>
      <c r="F1483" s="1" t="str">
        <f>""</f>
        <v/>
      </c>
      <c r="G1483" s="1" t="str">
        <f>"DISN"</f>
        <v>DISN</v>
      </c>
      <c r="H1483" s="1" t="str">
        <f>"REL09"</f>
        <v>REL09</v>
      </c>
      <c r="I1483" s="1" t="str">
        <f>""</f>
        <v/>
      </c>
      <c r="J1483" s="1" t="str">
        <f>""</f>
        <v/>
      </c>
      <c r="K1483" s="1" t="str">
        <f>""</f>
        <v/>
      </c>
      <c r="L1483" s="1" t="str">
        <f t="shared" si="464"/>
        <v>R</v>
      </c>
      <c r="M1483" s="1" t="str">
        <f>"T05"</f>
        <v>T05</v>
      </c>
      <c r="N1483" s="1" t="str">
        <f t="shared" si="465"/>
        <v>Y</v>
      </c>
      <c r="O1483" s="1" t="str">
        <f t="shared" si="462"/>
        <v>Y</v>
      </c>
      <c r="P1483" s="1" t="str">
        <f t="shared" si="467"/>
        <v>Y</v>
      </c>
      <c r="Q1483" s="1" t="str">
        <f t="shared" si="463"/>
        <v>A</v>
      </c>
    </row>
    <row r="1484" spans="1:17" x14ac:dyDescent="0.3">
      <c r="A1484" s="1" t="str">
        <f t="shared" si="466"/>
        <v>JB</v>
      </c>
      <c r="B1484" s="1" t="str">
        <f>"UAGJB01"</f>
        <v>UAGJB01</v>
      </c>
      <c r="C1484" s="1" t="str">
        <f>"요당검출"</f>
        <v>요당검출</v>
      </c>
      <c r="D1484" s="1" t="str">
        <f>"소변에서 당분이 검출됩니다. 소변의 당분은 당뇨병이 있는 경우 나올 수 있으나 비타민C를 과다 복용하는 경우 등 정상에서도 나올 수 있습니다. 가까운 시일내에 소변 검사를 다시 받아보시기 바랍니다."</f>
        <v>소변에서 당분이 검출됩니다. 소변의 당분은 당뇨병이 있는 경우 나올 수 있으나 비타민C를 과다 복용하는 경우 등 정상에서도 나올 수 있습니다. 가까운 시일내에 소변 검사를 다시 받아보시기 바랍니다.</v>
      </c>
      <c r="E1484" s="1" t="str">
        <f>""</f>
        <v/>
      </c>
      <c r="F1484" s="1" t="str">
        <f>""</f>
        <v/>
      </c>
      <c r="G1484" s="1" t="str">
        <f>""</f>
        <v/>
      </c>
      <c r="H1484" s="1" t="str">
        <f>""</f>
        <v/>
      </c>
      <c r="I1484" s="1" t="str">
        <f>""</f>
        <v/>
      </c>
      <c r="J1484" s="1" t="str">
        <f>""</f>
        <v/>
      </c>
      <c r="K1484" s="1" t="str">
        <f>""</f>
        <v/>
      </c>
      <c r="L1484" s="1" t="str">
        <f t="shared" si="464"/>
        <v>R</v>
      </c>
      <c r="M1484" s="1" t="str">
        <f>""</f>
        <v/>
      </c>
      <c r="N1484" s="1" t="str">
        <f t="shared" si="465"/>
        <v>Y</v>
      </c>
      <c r="O1484" s="1" t="str">
        <f t="shared" si="462"/>
        <v>Y</v>
      </c>
      <c r="P1484" s="1" t="str">
        <f t="shared" si="467"/>
        <v>Y</v>
      </c>
      <c r="Q1484" s="1" t="str">
        <f t="shared" si="463"/>
        <v>A</v>
      </c>
    </row>
    <row r="1485" spans="1:17" x14ac:dyDescent="0.3">
      <c r="A1485" s="1" t="str">
        <f t="shared" si="466"/>
        <v>JB</v>
      </c>
      <c r="B1485" s="1" t="str">
        <f>"UAPJB01"</f>
        <v>UAPJB01</v>
      </c>
      <c r="C1485" s="1" t="str">
        <f>"요단백검출"</f>
        <v>요단백검출</v>
      </c>
      <c r="D1485" s="1" t="s">
        <v>443</v>
      </c>
      <c r="E1485" s="1" t="str">
        <f>"WOK01"</f>
        <v>WOK01</v>
      </c>
      <c r="F1485" s="1" t="str">
        <f>""</f>
        <v/>
      </c>
      <c r="G1485" s="1" t="str">
        <f>"DISN"</f>
        <v>DISN</v>
      </c>
      <c r="H1485" s="1" t="str">
        <f>"REL08"</f>
        <v>REL08</v>
      </c>
      <c r="I1485" s="1" t="str">
        <f>""</f>
        <v/>
      </c>
      <c r="J1485" s="1" t="str">
        <f>""</f>
        <v/>
      </c>
      <c r="K1485" s="1" t="str">
        <f>""</f>
        <v/>
      </c>
      <c r="L1485" s="1" t="str">
        <f t="shared" si="464"/>
        <v>R</v>
      </c>
      <c r="M1485" s="1" t="str">
        <f>"T05"</f>
        <v>T05</v>
      </c>
      <c r="N1485" s="1" t="str">
        <f t="shared" si="465"/>
        <v>Y</v>
      </c>
      <c r="O1485" s="1" t="str">
        <f t="shared" si="462"/>
        <v>Y</v>
      </c>
      <c r="P1485" s="1" t="str">
        <f t="shared" si="467"/>
        <v>Y</v>
      </c>
      <c r="Q1485" s="1" t="str">
        <f t="shared" si="463"/>
        <v>A</v>
      </c>
    </row>
    <row r="1486" spans="1:17" x14ac:dyDescent="0.3">
      <c r="A1486" s="1" t="str">
        <f t="shared" si="466"/>
        <v>JB</v>
      </c>
      <c r="B1486" s="1" t="str">
        <f>"UBIJB01"</f>
        <v>UBIJB01</v>
      </c>
      <c r="C1486" s="1" t="str">
        <f>"뇨중 빌리루빈 검출"</f>
        <v>뇨중 빌리루빈 검출</v>
      </c>
      <c r="D1486" s="1" t="str">
        <f>"소변에서 빌리루빈 성분이 검출됩니다. 간장질환이 있을 경우 나올 수 있으나 다른 검사에서 이상이 없는 상태에서 검출되는 것은 큰 의미가 없습니다. 재검사를 위해 내원하시기 바랍니다."</f>
        <v>소변에서 빌리루빈 성분이 검출됩니다. 간장질환이 있을 경우 나올 수 있으나 다른 검사에서 이상이 없는 상태에서 검출되는 것은 큰 의미가 없습니다. 재검사를 위해 내원하시기 바랍니다.</v>
      </c>
      <c r="E1486" s="1" t="str">
        <f>""</f>
        <v/>
      </c>
      <c r="F1486" s="1" t="str">
        <f>""</f>
        <v/>
      </c>
      <c r="G1486" s="1" t="str">
        <f>""</f>
        <v/>
      </c>
      <c r="H1486" s="1" t="str">
        <f>""</f>
        <v/>
      </c>
      <c r="I1486" s="1" t="str">
        <f>""</f>
        <v/>
      </c>
      <c r="J1486" s="1" t="str">
        <f>""</f>
        <v/>
      </c>
      <c r="K1486" s="1" t="str">
        <f>""</f>
        <v/>
      </c>
      <c r="L1486" s="1" t="str">
        <f t="shared" si="464"/>
        <v>R</v>
      </c>
      <c r="M1486" s="1" t="str">
        <f>""</f>
        <v/>
      </c>
      <c r="N1486" s="1" t="str">
        <f t="shared" si="465"/>
        <v>Y</v>
      </c>
      <c r="O1486" s="1" t="str">
        <f t="shared" si="462"/>
        <v>Y</v>
      </c>
      <c r="P1486" s="1" t="str">
        <f t="shared" si="467"/>
        <v>Y</v>
      </c>
      <c r="Q1486" s="1" t="str">
        <f t="shared" si="463"/>
        <v>A</v>
      </c>
    </row>
    <row r="1487" spans="1:17" x14ac:dyDescent="0.3">
      <c r="A1487" s="1" t="str">
        <f t="shared" si="466"/>
        <v>JB</v>
      </c>
      <c r="B1487" s="1" t="str">
        <f>"UROJB01"</f>
        <v>UROJB01</v>
      </c>
      <c r="C1487" s="1" t="str">
        <f>"뇨중 유로빌리노겐 검출"</f>
        <v>뇨중 유로빌리노겐 검출</v>
      </c>
      <c r="D1487" s="1" t="str">
        <f>"소변에서 유로빌리노겐 성분이 검출됩니다. 간장질환이 있을 경우 나올 수 있으나 다른 검사에서 이상이 없는 상태에서 검출되는 것은 큰 의미가 없습니다. 재검사를 위해 내원하시기 바랍니다."</f>
        <v>소변에서 유로빌리노겐 성분이 검출됩니다. 간장질환이 있을 경우 나올 수 있으나 다른 검사에서 이상이 없는 상태에서 검출되는 것은 큰 의미가 없습니다. 재검사를 위해 내원하시기 바랍니다.</v>
      </c>
      <c r="E1487" s="1" t="str">
        <f>""</f>
        <v/>
      </c>
      <c r="F1487" s="1" t="str">
        <f>""</f>
        <v/>
      </c>
      <c r="G1487" s="1" t="str">
        <f>""</f>
        <v/>
      </c>
      <c r="H1487" s="1" t="str">
        <f>""</f>
        <v/>
      </c>
      <c r="I1487" s="1" t="str">
        <f>""</f>
        <v/>
      </c>
      <c r="J1487" s="1" t="str">
        <f>""</f>
        <v/>
      </c>
      <c r="K1487" s="1" t="str">
        <f>""</f>
        <v/>
      </c>
      <c r="L1487" s="1" t="str">
        <f t="shared" si="464"/>
        <v>R</v>
      </c>
      <c r="M1487" s="1" t="str">
        <f>""</f>
        <v/>
      </c>
      <c r="N1487" s="1" t="str">
        <f t="shared" si="465"/>
        <v>Y</v>
      </c>
      <c r="O1487" s="1" t="str">
        <f t="shared" si="462"/>
        <v>Y</v>
      </c>
      <c r="P1487" s="1" t="str">
        <f t="shared" si="467"/>
        <v>Y</v>
      </c>
      <c r="Q1487" s="1" t="str">
        <f t="shared" si="463"/>
        <v>A</v>
      </c>
    </row>
    <row r="1488" spans="1:17" x14ac:dyDescent="0.3">
      <c r="A1488" s="1" t="str">
        <f t="shared" si="466"/>
        <v>JB</v>
      </c>
      <c r="B1488" s="1" t="str">
        <f>"USRJB01"</f>
        <v>USRJB01</v>
      </c>
      <c r="C1488" s="1" t="str">
        <f>"혈뇨검출"</f>
        <v>혈뇨검출</v>
      </c>
      <c r="D1488" s="1" t="s">
        <v>444</v>
      </c>
      <c r="E1488" s="1" t="str">
        <f>""</f>
        <v/>
      </c>
      <c r="F1488" s="1" t="str">
        <f>""</f>
        <v/>
      </c>
      <c r="G1488" s="1" t="str">
        <f>""</f>
        <v/>
      </c>
      <c r="H1488" s="1" t="str">
        <f>""</f>
        <v/>
      </c>
      <c r="I1488" s="1" t="str">
        <f>""</f>
        <v/>
      </c>
      <c r="J1488" s="1" t="str">
        <f>""</f>
        <v/>
      </c>
      <c r="K1488" s="1" t="str">
        <f>""</f>
        <v/>
      </c>
      <c r="L1488" s="1" t="str">
        <f t="shared" si="464"/>
        <v>R</v>
      </c>
      <c r="M1488" s="1" t="str">
        <f>""</f>
        <v/>
      </c>
      <c r="N1488" s="1" t="str">
        <f t="shared" si="465"/>
        <v>Y</v>
      </c>
      <c r="O1488" s="1" t="str">
        <f t="shared" si="462"/>
        <v>Y</v>
      </c>
      <c r="P1488" s="1" t="str">
        <f t="shared" si="467"/>
        <v>Y</v>
      </c>
      <c r="Q1488" s="1" t="str">
        <f t="shared" si="463"/>
        <v>A</v>
      </c>
    </row>
    <row r="1489" spans="1:17" x14ac:dyDescent="0.3">
      <c r="A1489" s="1" t="str">
        <f t="shared" si="466"/>
        <v>JB</v>
      </c>
      <c r="B1489" s="1" t="str">
        <f>"USWJB01"</f>
        <v>USWJB01</v>
      </c>
      <c r="C1489" s="1" t="str">
        <f>"뇨중 백혈구검출"</f>
        <v>뇨중 백혈구검출</v>
      </c>
      <c r="D1489" s="1" t="s">
        <v>445</v>
      </c>
      <c r="E1489" s="1" t="str">
        <f>""</f>
        <v/>
      </c>
      <c r="F1489" s="1" t="str">
        <f>""</f>
        <v/>
      </c>
      <c r="G1489" s="1" t="str">
        <f>""</f>
        <v/>
      </c>
      <c r="H1489" s="1" t="str">
        <f>""</f>
        <v/>
      </c>
      <c r="I1489" s="1" t="str">
        <f>""</f>
        <v/>
      </c>
      <c r="J1489" s="1" t="str">
        <f>""</f>
        <v/>
      </c>
      <c r="K1489" s="1" t="str">
        <f>""</f>
        <v/>
      </c>
      <c r="L1489" s="1" t="str">
        <f t="shared" si="464"/>
        <v>R</v>
      </c>
      <c r="M1489" s="1" t="str">
        <f>""</f>
        <v/>
      </c>
      <c r="N1489" s="1" t="str">
        <f t="shared" si="465"/>
        <v>Y</v>
      </c>
      <c r="O1489" s="1" t="str">
        <f t="shared" si="462"/>
        <v>Y</v>
      </c>
      <c r="P1489" s="1" t="str">
        <f t="shared" si="467"/>
        <v>Y</v>
      </c>
      <c r="Q1489" s="1" t="str">
        <f t="shared" si="463"/>
        <v>A</v>
      </c>
    </row>
    <row r="1490" spans="1:17" x14ac:dyDescent="0.3">
      <c r="A1490" s="1" t="str">
        <f t="shared" si="466"/>
        <v>JB</v>
      </c>
      <c r="B1490" s="1" t="str">
        <f>"VZVIGG2"</f>
        <v>VZVIGG2</v>
      </c>
      <c r="C1490" s="1" t="str">
        <f>"수두 항체 약양성"</f>
        <v>수두 항체 약양성</v>
      </c>
      <c r="D1490" s="1" t="str">
        <f>"수두(Varicella zoster)에 대한 항체가 약양성입니다. 예방접종에 대한 상담을 받으시기 바랍니다."</f>
        <v>수두(Varicella zoster)에 대한 항체가 약양성입니다. 예방접종에 대한 상담을 받으시기 바랍니다.</v>
      </c>
      <c r="E1490" s="1" t="str">
        <f>""</f>
        <v/>
      </c>
      <c r="F1490" s="1" t="str">
        <f>""</f>
        <v/>
      </c>
      <c r="G1490" s="1" t="str">
        <f>""</f>
        <v/>
      </c>
      <c r="H1490" s="1" t="str">
        <f>""</f>
        <v/>
      </c>
      <c r="I1490" s="1" t="str">
        <f>""</f>
        <v/>
      </c>
      <c r="J1490" s="1" t="str">
        <f>""</f>
        <v/>
      </c>
      <c r="K1490" s="1" t="str">
        <f>""</f>
        <v/>
      </c>
      <c r="L1490" s="1" t="str">
        <f t="shared" si="464"/>
        <v>R</v>
      </c>
      <c r="M1490" s="1" t="str">
        <f>""</f>
        <v/>
      </c>
      <c r="N1490" s="1" t="str">
        <f t="shared" si="465"/>
        <v>Y</v>
      </c>
      <c r="O1490" s="1" t="str">
        <f t="shared" si="462"/>
        <v>Y</v>
      </c>
      <c r="P1490" s="1" t="str">
        <f t="shared" si="467"/>
        <v>Y</v>
      </c>
      <c r="Q1490" s="1" t="str">
        <f t="shared" si="463"/>
        <v>A</v>
      </c>
    </row>
    <row r="1491" spans="1:17" x14ac:dyDescent="0.3">
      <c r="A1491" s="1" t="str">
        <f t="shared" si="466"/>
        <v>JB</v>
      </c>
      <c r="B1491" s="1" t="str">
        <f>"WHIJB01"</f>
        <v>WHIJB01</v>
      </c>
      <c r="C1491" s="1" t="str">
        <f>"백혈구 증가"</f>
        <v>백혈구 증가</v>
      </c>
      <c r="D1491" s="1" t="str">
        <f>"혈액검사에서 백혈구수가 증가하였습니다. 염증성 질환시 증가할 수 있으나 일시적 현상일 가능성도 있습니다. 신체상의 이상이 있는 경우 내원하여 상담하시고 별다른 신체적 이상이 없다면 1개월 후 재검을 권합니다."</f>
        <v>혈액검사에서 백혈구수가 증가하였습니다. 염증성 질환시 증가할 수 있으나 일시적 현상일 가능성도 있습니다. 신체상의 이상이 있는 경우 내원하여 상담하시고 별다른 신체적 이상이 없다면 1개월 후 재검을 권합니다.</v>
      </c>
      <c r="E1491" s="1" t="str">
        <f>"WOK01"</f>
        <v>WOK01</v>
      </c>
      <c r="F1491" s="1" t="str">
        <f>""</f>
        <v/>
      </c>
      <c r="G1491" s="1" t="str">
        <f>"DISD"</f>
        <v>DISD</v>
      </c>
      <c r="H1491" s="1" t="str">
        <f>"REL12"</f>
        <v>REL12</v>
      </c>
      <c r="I1491" s="1" t="str">
        <f>""</f>
        <v/>
      </c>
      <c r="J1491" s="1" t="str">
        <f>""</f>
        <v/>
      </c>
      <c r="K1491" s="1" t="str">
        <f>""</f>
        <v/>
      </c>
      <c r="L1491" s="1" t="str">
        <f t="shared" si="464"/>
        <v>R</v>
      </c>
      <c r="M1491" s="1" t="str">
        <f>"T01"</f>
        <v>T01</v>
      </c>
      <c r="N1491" s="1" t="str">
        <f t="shared" si="465"/>
        <v>Y</v>
      </c>
      <c r="O1491" s="1" t="str">
        <f t="shared" si="462"/>
        <v>Y</v>
      </c>
      <c r="P1491" s="1" t="str">
        <f t="shared" si="467"/>
        <v>Y</v>
      </c>
      <c r="Q1491" s="1" t="str">
        <f t="shared" si="463"/>
        <v>A</v>
      </c>
    </row>
    <row r="1492" spans="1:17" x14ac:dyDescent="0.3">
      <c r="A1492" s="1" t="str">
        <f t="shared" si="466"/>
        <v>JB</v>
      </c>
      <c r="B1492" s="1" t="str">
        <f>"WHIJB02"</f>
        <v>WHIJB02</v>
      </c>
      <c r="C1492" s="1" t="str">
        <f>"백혈구 감소"</f>
        <v>백혈구 감소</v>
      </c>
      <c r="D1492" s="1" t="str">
        <f>"혈액검사에서 백혈구수가 감소하였습니다. 그러나 다른 항목의 검사결과를 종합하여 판단할 때 1회의 검사소견만으로 병적 상태로 보기는 어렵습니다. 추이의 변화를 보기위해 1개월후에 다시 검사를 받고 상담하시기 바랍니다."</f>
        <v>혈액검사에서 백혈구수가 감소하였습니다. 그러나 다른 항목의 검사결과를 종합하여 판단할 때 1회의 검사소견만으로 병적 상태로 보기는 어렵습니다. 추이의 변화를 보기위해 1개월후에 다시 검사를 받고 상담하시기 바랍니다.</v>
      </c>
      <c r="E1492" s="1" t="str">
        <f>"WOK01"</f>
        <v>WOK01</v>
      </c>
      <c r="F1492" s="1" t="str">
        <f>""</f>
        <v/>
      </c>
      <c r="G1492" s="1" t="str">
        <f>"DISD"</f>
        <v>DISD</v>
      </c>
      <c r="H1492" s="1" t="str">
        <f>"REL12"</f>
        <v>REL12</v>
      </c>
      <c r="I1492" s="1" t="str">
        <f>""</f>
        <v/>
      </c>
      <c r="J1492" s="1" t="str">
        <f>""</f>
        <v/>
      </c>
      <c r="K1492" s="1" t="str">
        <f>""</f>
        <v/>
      </c>
      <c r="L1492" s="1" t="str">
        <f t="shared" si="464"/>
        <v>R</v>
      </c>
      <c r="M1492" s="1" t="str">
        <f>"T01"</f>
        <v>T01</v>
      </c>
      <c r="N1492" s="1" t="str">
        <f t="shared" si="465"/>
        <v>Y</v>
      </c>
      <c r="O1492" s="1" t="str">
        <f t="shared" si="462"/>
        <v>Y</v>
      </c>
      <c r="P1492" s="1" t="str">
        <f t="shared" si="467"/>
        <v>Y</v>
      </c>
      <c r="Q1492" s="1" t="str">
        <f t="shared" si="463"/>
        <v>A</v>
      </c>
    </row>
    <row r="1493" spans="1:17" x14ac:dyDescent="0.3">
      <c r="A1493" s="1" t="str">
        <f t="shared" ref="A1493:A1524" si="468">"JC"</f>
        <v>JC</v>
      </c>
      <c r="B1493" s="1" t="str">
        <f>"AMYJC01"</f>
        <v>AMYJC01</v>
      </c>
      <c r="C1493" s="1" t="str">
        <f>"아밀라제 상승"</f>
        <v>아밀라제 상승</v>
      </c>
      <c r="D1493" s="1" t="str">
        <f>"혈중 아밀라제치가 상승했습니다. 췌장염이 있을때 상승하지만 식후 채혈이나 용혈시에도 높게 나올 수 있습니다. 원인규명을 위해 상세한 상담 및 진료가 필요합니다. 내원하시어 상담하시거나 소화기내과 진료를 권합니다."</f>
        <v>혈중 아밀라제치가 상승했습니다. 췌장염이 있을때 상승하지만 식후 채혈이나 용혈시에도 높게 나올 수 있습니다. 원인규명을 위해 상세한 상담 및 진료가 필요합니다. 내원하시어 상담하시거나 소화기내과 진료를 권합니다.</v>
      </c>
      <c r="E1493" s="1" t="str">
        <f>"WOK02"</f>
        <v>WOK02</v>
      </c>
      <c r="F1493" s="1" t="str">
        <f>""</f>
        <v/>
      </c>
      <c r="G1493" s="1" t="str">
        <f>"DISK"</f>
        <v>DISK</v>
      </c>
      <c r="H1493" s="1" t="str">
        <f>"REL05"</f>
        <v>REL05</v>
      </c>
      <c r="I1493" s="1" t="str">
        <f>""</f>
        <v/>
      </c>
      <c r="J1493" s="1" t="str">
        <f>""</f>
        <v/>
      </c>
      <c r="K1493" s="1" t="str">
        <f>""</f>
        <v/>
      </c>
      <c r="L1493" s="1" t="str">
        <f t="shared" si="464"/>
        <v>R</v>
      </c>
      <c r="M1493" s="1" t="str">
        <f>"T02"</f>
        <v>T02</v>
      </c>
      <c r="N1493" s="1" t="str">
        <f t="shared" si="465"/>
        <v>Y</v>
      </c>
      <c r="O1493" s="1" t="str">
        <f t="shared" si="462"/>
        <v>Y</v>
      </c>
      <c r="P1493" s="1" t="str">
        <f t="shared" si="467"/>
        <v>Y</v>
      </c>
      <c r="Q1493" s="1" t="str">
        <f t="shared" si="463"/>
        <v>A</v>
      </c>
    </row>
    <row r="1494" spans="1:17" x14ac:dyDescent="0.3">
      <c r="A1494" s="1" t="str">
        <f t="shared" si="468"/>
        <v>JC</v>
      </c>
      <c r="B1494" s="1" t="str">
        <f>"BGOJC01"</f>
        <v>BGOJC01</v>
      </c>
      <c r="C1494" s="1" t="str">
        <f>"간질환의심"</f>
        <v>간질환의심</v>
      </c>
      <c r="D1494" s="1" t="str">
        <f>"혈액내의 간효소가 증가되어 간기능 저하가 의심됩니다. 일단 재검사를 통하여 간효소치의 상승을 확인한 후 정밀검사를 받아보시기 바랍니다. 내원하셔서 상담하시기 바랍니다."</f>
        <v>혈액내의 간효소가 증가되어 간기능 저하가 의심됩니다. 일단 재검사를 통하여 간효소치의 상승을 확인한 후 정밀검사를 받아보시기 바랍니다. 내원하셔서 상담하시기 바랍니다.</v>
      </c>
      <c r="E1494" s="1" t="str">
        <f>"WOK01"</f>
        <v>WOK01</v>
      </c>
      <c r="F1494" s="1" t="str">
        <f>""</f>
        <v/>
      </c>
      <c r="G1494" s="1" t="str">
        <f>"DISK"</f>
        <v>DISK</v>
      </c>
      <c r="H1494" s="1" t="str">
        <f>"REL05"</f>
        <v>REL05</v>
      </c>
      <c r="I1494" s="1" t="str">
        <f>""</f>
        <v/>
      </c>
      <c r="J1494" s="1" t="str">
        <f>""</f>
        <v/>
      </c>
      <c r="K1494" s="1" t="str">
        <f>""</f>
        <v/>
      </c>
      <c r="L1494" s="1" t="str">
        <f t="shared" si="464"/>
        <v>R</v>
      </c>
      <c r="M1494" s="1" t="str">
        <f>"T02"</f>
        <v>T02</v>
      </c>
      <c r="N1494" s="1" t="str">
        <f t="shared" si="465"/>
        <v>Y</v>
      </c>
      <c r="O1494" s="1" t="str">
        <f t="shared" si="462"/>
        <v>Y</v>
      </c>
      <c r="P1494" s="1" t="str">
        <f t="shared" si="467"/>
        <v>Y</v>
      </c>
      <c r="Q1494" s="1" t="str">
        <f t="shared" si="463"/>
        <v>A</v>
      </c>
    </row>
    <row r="1495" spans="1:17" x14ac:dyDescent="0.3">
      <c r="A1495" s="1" t="str">
        <f t="shared" si="468"/>
        <v>JC</v>
      </c>
      <c r="B1495" s="1" t="str">
        <f>"BGPJC01"</f>
        <v>BGPJC01</v>
      </c>
      <c r="C1495" s="1" t="str">
        <f>"간질환의심"</f>
        <v>간질환의심</v>
      </c>
      <c r="D1495" s="1" t="str">
        <f>"혈액내의 간효소가 증가되어 간기능 저하가 의심됩니다. 일단 재검사를 통하여 간효소치의 상승을 확인한 후 정밀검사를 받아보시기 바랍니다. 내원하셔서 상담하시기 바랍니다."</f>
        <v>혈액내의 간효소가 증가되어 간기능 저하가 의심됩니다. 일단 재검사를 통하여 간효소치의 상승을 확인한 후 정밀검사를 받아보시기 바랍니다. 내원하셔서 상담하시기 바랍니다.</v>
      </c>
      <c r="E1495" s="1" t="str">
        <f>"WOK01"</f>
        <v>WOK01</v>
      </c>
      <c r="F1495" s="1" t="str">
        <f>""</f>
        <v/>
      </c>
      <c r="G1495" s="1" t="str">
        <f>"DISK"</f>
        <v>DISK</v>
      </c>
      <c r="H1495" s="1" t="str">
        <f>"REL05"</f>
        <v>REL05</v>
      </c>
      <c r="I1495" s="1" t="str">
        <f>""</f>
        <v/>
      </c>
      <c r="J1495" s="1" t="str">
        <f>""</f>
        <v/>
      </c>
      <c r="K1495" s="1" t="str">
        <f>""</f>
        <v/>
      </c>
      <c r="L1495" s="1" t="str">
        <f t="shared" si="464"/>
        <v>R</v>
      </c>
      <c r="M1495" s="1" t="str">
        <f>"T02"</f>
        <v>T02</v>
      </c>
      <c r="N1495" s="1" t="str">
        <f t="shared" si="465"/>
        <v>Y</v>
      </c>
      <c r="O1495" s="1" t="str">
        <f t="shared" si="462"/>
        <v>Y</v>
      </c>
      <c r="P1495" s="1" t="str">
        <f t="shared" si="467"/>
        <v>Y</v>
      </c>
      <c r="Q1495" s="1" t="str">
        <f t="shared" si="463"/>
        <v>A</v>
      </c>
    </row>
    <row r="1496" spans="1:17" x14ac:dyDescent="0.3">
      <c r="A1496" s="1" t="str">
        <f t="shared" si="468"/>
        <v>JC</v>
      </c>
      <c r="B1496" s="1" t="str">
        <f>"BLGJC01"</f>
        <v>BLGJC01</v>
      </c>
      <c r="C1496" s="1" t="str">
        <f>"당뇨주의"</f>
        <v>당뇨주의</v>
      </c>
      <c r="D1496" s="1" t="s">
        <v>446</v>
      </c>
      <c r="E1496" s="1" t="str">
        <f>"WOK01"</f>
        <v>WOK01</v>
      </c>
      <c r="F1496" s="1" t="str">
        <f>""</f>
        <v/>
      </c>
      <c r="G1496" s="1" t="str">
        <f>"DISE"</f>
        <v>DISE</v>
      </c>
      <c r="H1496" s="1" t="str">
        <f>"REL07"</f>
        <v>REL07</v>
      </c>
      <c r="I1496" s="1" t="str">
        <f>""</f>
        <v/>
      </c>
      <c r="J1496" s="1" t="str">
        <f>""</f>
        <v/>
      </c>
      <c r="K1496" s="1" t="str">
        <f>""</f>
        <v/>
      </c>
      <c r="L1496" s="1" t="str">
        <f t="shared" si="464"/>
        <v>R</v>
      </c>
      <c r="M1496" s="1" t="str">
        <f>"T03"</f>
        <v>T03</v>
      </c>
      <c r="N1496" s="1" t="str">
        <f t="shared" si="465"/>
        <v>Y</v>
      </c>
      <c r="O1496" s="1" t="str">
        <f t="shared" si="462"/>
        <v>Y</v>
      </c>
      <c r="P1496" s="1" t="str">
        <f t="shared" si="467"/>
        <v>Y</v>
      </c>
      <c r="Q1496" s="1" t="str">
        <f t="shared" si="463"/>
        <v>A</v>
      </c>
    </row>
    <row r="1497" spans="1:17" x14ac:dyDescent="0.3">
      <c r="A1497" s="1" t="str">
        <f t="shared" si="468"/>
        <v>JC</v>
      </c>
      <c r="B1497" s="1" t="str">
        <f>"BLTJC01"</f>
        <v>BLTJC01</v>
      </c>
      <c r="C1497" s="1" t="str">
        <f>"고지혈증주의"</f>
        <v>고지혈증주의</v>
      </c>
      <c r="D1497" s="1" t="str">
        <f>"혈중 콜레스테롤이 정상범위보다 높습니다. 혈압이 높거나 혈당이 높은 경우에는 약물치료가 필요한 경우도 있으니 내원 상담바랍니다.  3개월 후에 다시 검사하시기 바랍니다."</f>
        <v>혈중 콜레스테롤이 정상범위보다 높습니다. 혈압이 높거나 혈당이 높은 경우에는 약물치료가 필요한 경우도 있으니 내원 상담바랍니다.  3개월 후에 다시 검사하시기 바랍니다.</v>
      </c>
      <c r="E1497" s="1" t="str">
        <f>"WOK02"</f>
        <v>WOK02</v>
      </c>
      <c r="F1497" s="1" t="str">
        <f>""</f>
        <v/>
      </c>
      <c r="G1497" s="1" t="str">
        <f>"DISE"</f>
        <v>DISE</v>
      </c>
      <c r="H1497" s="1" t="str">
        <f>"REL04"</f>
        <v>REL04</v>
      </c>
      <c r="I1497" s="1" t="str">
        <f>""</f>
        <v/>
      </c>
      <c r="J1497" s="1" t="str">
        <f>""</f>
        <v/>
      </c>
      <c r="K1497" s="1" t="str">
        <f>""</f>
        <v/>
      </c>
      <c r="L1497" s="1" t="str">
        <f t="shared" si="464"/>
        <v>R</v>
      </c>
      <c r="M1497" s="1" t="str">
        <f>"T03"</f>
        <v>T03</v>
      </c>
      <c r="N1497" s="1" t="str">
        <f t="shared" si="465"/>
        <v>Y</v>
      </c>
      <c r="O1497" s="1" t="str">
        <f t="shared" si="462"/>
        <v>Y</v>
      </c>
      <c r="P1497" s="1" t="str">
        <f t="shared" si="467"/>
        <v>Y</v>
      </c>
      <c r="Q1497" s="1" t="str">
        <f t="shared" si="463"/>
        <v>A</v>
      </c>
    </row>
    <row r="1498" spans="1:17" x14ac:dyDescent="0.3">
      <c r="A1498" s="1" t="str">
        <f t="shared" si="468"/>
        <v>JC</v>
      </c>
      <c r="B1498" s="1" t="str">
        <f>"BONJC01"</f>
        <v>BONJC01</v>
      </c>
      <c r="C1498" s="1" t="str">
        <f>"골감소증"</f>
        <v>골감소증</v>
      </c>
      <c r="D1498" s="1" t="s">
        <v>447</v>
      </c>
      <c r="E1498" s="1" t="str">
        <f>""</f>
        <v/>
      </c>
      <c r="F1498" s="1" t="str">
        <f>""</f>
        <v/>
      </c>
      <c r="G1498" s="1" t="str">
        <f>""</f>
        <v/>
      </c>
      <c r="H1498" s="1" t="str">
        <f>""</f>
        <v/>
      </c>
      <c r="I1498" s="1" t="str">
        <f>""</f>
        <v/>
      </c>
      <c r="J1498" s="1" t="str">
        <f>""</f>
        <v/>
      </c>
      <c r="K1498" s="1" t="str">
        <f>""</f>
        <v/>
      </c>
      <c r="L1498" s="1" t="str">
        <f t="shared" si="464"/>
        <v>R</v>
      </c>
      <c r="M1498" s="1" t="str">
        <f>""</f>
        <v/>
      </c>
      <c r="N1498" s="1" t="str">
        <f t="shared" si="465"/>
        <v>Y</v>
      </c>
      <c r="O1498" s="1" t="str">
        <f t="shared" si="462"/>
        <v>Y</v>
      </c>
      <c r="P1498" s="1" t="str">
        <f t="shared" si="467"/>
        <v>Y</v>
      </c>
      <c r="Q1498" s="1" t="str">
        <f t="shared" si="463"/>
        <v>A</v>
      </c>
    </row>
    <row r="1499" spans="1:17" x14ac:dyDescent="0.3">
      <c r="A1499" s="1" t="str">
        <f t="shared" si="468"/>
        <v>JC</v>
      </c>
      <c r="B1499" s="1" t="str">
        <f>"BPDJC01"</f>
        <v>BPDJC01</v>
      </c>
      <c r="C1499" s="1" t="str">
        <f>"고혈압 의심"</f>
        <v>고혈압 의심</v>
      </c>
      <c r="D1499" s="1" t="str">
        <f>"금번에 측정한 혈압이 높아 고혈압이 의심됩니다.   저염식이와 운동하시고 내원하시어 상담받으시기 바랍니다."</f>
        <v>금번에 측정한 혈압이 높아 고혈압이 의심됩니다.   저염식이와 운동하시고 내원하시어 상담받으시기 바랍니다.</v>
      </c>
      <c r="E1499" s="1" t="str">
        <f>"WOK01"</f>
        <v>WOK01</v>
      </c>
      <c r="F1499" s="1" t="str">
        <f>""</f>
        <v/>
      </c>
      <c r="G1499" s="1" t="str">
        <f>"DISI"</f>
        <v>DISI</v>
      </c>
      <c r="H1499" s="1" t="str">
        <f>"REL03"</f>
        <v>REL03</v>
      </c>
      <c r="I1499" s="1" t="str">
        <f>""</f>
        <v/>
      </c>
      <c r="J1499" s="1" t="str">
        <f>""</f>
        <v/>
      </c>
      <c r="K1499" s="1" t="str">
        <f>""</f>
        <v/>
      </c>
      <c r="L1499" s="1" t="str">
        <f t="shared" si="464"/>
        <v>R</v>
      </c>
      <c r="M1499" s="1" t="str">
        <f>"T03"</f>
        <v>T03</v>
      </c>
      <c r="N1499" s="1" t="str">
        <f t="shared" si="465"/>
        <v>Y</v>
      </c>
      <c r="O1499" s="1" t="str">
        <f t="shared" si="462"/>
        <v>Y</v>
      </c>
      <c r="P1499" s="1" t="str">
        <f t="shared" si="467"/>
        <v>Y</v>
      </c>
      <c r="Q1499" s="1" t="str">
        <f t="shared" si="463"/>
        <v>A</v>
      </c>
    </row>
    <row r="1500" spans="1:17" x14ac:dyDescent="0.3">
      <c r="A1500" s="1" t="str">
        <f t="shared" si="468"/>
        <v>JC</v>
      </c>
      <c r="B1500" s="1" t="str">
        <f>"BPSJC01"</f>
        <v>BPSJC01</v>
      </c>
      <c r="C1500" s="1" t="str">
        <f>"고혈압 의심"</f>
        <v>고혈압 의심</v>
      </c>
      <c r="D1500" s="1" t="str">
        <f>"금번에 측정한 혈압이 높아 고혈압이 의심됩니다.   저염식이와 운동하시고 내원하시어 상담받으시기 바랍니다."</f>
        <v>금번에 측정한 혈압이 높아 고혈압이 의심됩니다.   저염식이와 운동하시고 내원하시어 상담받으시기 바랍니다.</v>
      </c>
      <c r="E1500" s="1" t="str">
        <f>"WOK01"</f>
        <v>WOK01</v>
      </c>
      <c r="F1500" s="1" t="str">
        <f>""</f>
        <v/>
      </c>
      <c r="G1500" s="1" t="str">
        <f>"DISI"</f>
        <v>DISI</v>
      </c>
      <c r="H1500" s="1" t="str">
        <f>"REL03"</f>
        <v>REL03</v>
      </c>
      <c r="I1500" s="1" t="str">
        <f>""</f>
        <v/>
      </c>
      <c r="J1500" s="1" t="str">
        <f>""</f>
        <v/>
      </c>
      <c r="K1500" s="1" t="str">
        <f>""</f>
        <v/>
      </c>
      <c r="L1500" s="1" t="str">
        <f t="shared" si="464"/>
        <v>R</v>
      </c>
      <c r="M1500" s="1" t="str">
        <f>"T03"</f>
        <v>T03</v>
      </c>
      <c r="N1500" s="1" t="str">
        <f t="shared" si="465"/>
        <v>Y</v>
      </c>
      <c r="O1500" s="1" t="str">
        <f t="shared" si="462"/>
        <v>Y</v>
      </c>
      <c r="P1500" s="1" t="str">
        <f t="shared" si="467"/>
        <v>Y</v>
      </c>
      <c r="Q1500" s="1" t="str">
        <f t="shared" si="463"/>
        <v>A</v>
      </c>
    </row>
    <row r="1501" spans="1:17" x14ac:dyDescent="0.3">
      <c r="A1501" s="1" t="str">
        <f t="shared" si="468"/>
        <v>JC</v>
      </c>
      <c r="B1501" s="1" t="str">
        <f>"BUNJC01"</f>
        <v>BUNJC01</v>
      </c>
      <c r="C1501" s="1" t="str">
        <f>"혈중 요소질소 상승"</f>
        <v>혈중 요소질소 상승</v>
      </c>
      <c r="D1501" s="1" t="str">
        <f>"혈중 요소질소치가 높게 나타납니다. 신장기능의 이상이 있는 경우 상승할 수 있으나 육식을 많이 하거나 출혈이 있는 경우에도 일시적으로 상승할 수 있습니다. 재검사를 위해 내원하시기 바랍니다."</f>
        <v>혈중 요소질소치가 높게 나타납니다. 신장기능의 이상이 있는 경우 상승할 수 있으나 육식을 많이 하거나 출혈이 있는 경우에도 일시적으로 상승할 수 있습니다. 재검사를 위해 내원하시기 바랍니다.</v>
      </c>
      <c r="E1501" s="1" t="str">
        <f>"WOK01"</f>
        <v>WOK01</v>
      </c>
      <c r="F1501" s="1" t="str">
        <f>""</f>
        <v/>
      </c>
      <c r="G1501" s="1" t="str">
        <f>"DISN"</f>
        <v>DISN</v>
      </c>
      <c r="H1501" s="1" t="str">
        <f>"REL09"</f>
        <v>REL09</v>
      </c>
      <c r="I1501" s="1" t="str">
        <f>""</f>
        <v/>
      </c>
      <c r="J1501" s="1" t="str">
        <f>""</f>
        <v/>
      </c>
      <c r="K1501" s="1" t="str">
        <f>""</f>
        <v/>
      </c>
      <c r="L1501" s="1" t="str">
        <f t="shared" si="464"/>
        <v>R</v>
      </c>
      <c r="M1501" s="1" t="str">
        <f>"T05"</f>
        <v>T05</v>
      </c>
      <c r="N1501" s="1" t="str">
        <f t="shared" si="465"/>
        <v>Y</v>
      </c>
      <c r="O1501" s="1" t="str">
        <f t="shared" si="462"/>
        <v>Y</v>
      </c>
      <c r="P1501" s="1" t="str">
        <f t="shared" si="467"/>
        <v>Y</v>
      </c>
      <c r="Q1501" s="1" t="str">
        <f t="shared" si="463"/>
        <v>A</v>
      </c>
    </row>
    <row r="1502" spans="1:17" x14ac:dyDescent="0.3">
      <c r="A1502" s="1" t="str">
        <f t="shared" si="468"/>
        <v>JC</v>
      </c>
      <c r="B1502" s="1" t="str">
        <f>"CA5JC01"</f>
        <v>CA5JC01</v>
      </c>
      <c r="C1502" s="1" t="str">
        <f>"난소암 표지자 양성"</f>
        <v>난소암 표지자 양성</v>
      </c>
      <c r="D1502" s="1" t="s">
        <v>448</v>
      </c>
      <c r="E1502" s="1" t="str">
        <f>"WOK02"</f>
        <v>WOK02</v>
      </c>
      <c r="F1502" s="1" t="str">
        <f>""</f>
        <v/>
      </c>
      <c r="G1502" s="1" t="str">
        <f>"DISN"</f>
        <v>DISN</v>
      </c>
      <c r="H1502" s="1" t="str">
        <f>"REL11"</f>
        <v>REL11</v>
      </c>
      <c r="I1502" s="1" t="str">
        <f>""</f>
        <v/>
      </c>
      <c r="J1502" s="1" t="str">
        <f>""</f>
        <v/>
      </c>
      <c r="K1502" s="1" t="str">
        <f>""</f>
        <v/>
      </c>
      <c r="L1502" s="1" t="str">
        <f t="shared" si="464"/>
        <v>R</v>
      </c>
      <c r="M1502" s="1" t="str">
        <f>"T07"</f>
        <v>T07</v>
      </c>
      <c r="N1502" s="1" t="str">
        <f t="shared" si="465"/>
        <v>Y</v>
      </c>
      <c r="O1502" s="1" t="str">
        <f t="shared" si="462"/>
        <v>Y</v>
      </c>
      <c r="P1502" s="1" t="str">
        <f t="shared" si="467"/>
        <v>Y</v>
      </c>
      <c r="Q1502" s="1" t="str">
        <f t="shared" si="463"/>
        <v>A</v>
      </c>
    </row>
    <row r="1503" spans="1:17" x14ac:dyDescent="0.3">
      <c r="A1503" s="1" t="str">
        <f t="shared" si="468"/>
        <v>JC</v>
      </c>
      <c r="B1503" s="1" t="str">
        <f>"CA9JC01"</f>
        <v>CA9JC01</v>
      </c>
      <c r="C1503" s="1" t="str">
        <f>"췌장암 표지자 양성"</f>
        <v>췌장암 표지자 양성</v>
      </c>
      <c r="D1503" s="1" t="s">
        <v>449</v>
      </c>
      <c r="E1503" s="1" t="str">
        <f>""</f>
        <v/>
      </c>
      <c r="F1503" s="1" t="str">
        <f>""</f>
        <v/>
      </c>
      <c r="G1503" s="1" t="str">
        <f>""</f>
        <v/>
      </c>
      <c r="H1503" s="1" t="str">
        <f>""</f>
        <v/>
      </c>
      <c r="I1503" s="1" t="str">
        <f>""</f>
        <v/>
      </c>
      <c r="J1503" s="1" t="str">
        <f>""</f>
        <v/>
      </c>
      <c r="K1503" s="1" t="str">
        <f>""</f>
        <v/>
      </c>
      <c r="L1503" s="1" t="str">
        <f t="shared" si="464"/>
        <v>R</v>
      </c>
      <c r="M1503" s="1" t="str">
        <f>""</f>
        <v/>
      </c>
      <c r="N1503" s="1" t="str">
        <f t="shared" si="465"/>
        <v>Y</v>
      </c>
      <c r="O1503" s="1" t="str">
        <f t="shared" si="462"/>
        <v>Y</v>
      </c>
      <c r="P1503" s="1" t="str">
        <f t="shared" si="467"/>
        <v>Y</v>
      </c>
      <c r="Q1503" s="1" t="str">
        <f t="shared" si="463"/>
        <v>A</v>
      </c>
    </row>
    <row r="1504" spans="1:17" x14ac:dyDescent="0.3">
      <c r="A1504" s="1" t="str">
        <f t="shared" si="468"/>
        <v>JC</v>
      </c>
      <c r="B1504" s="1" t="str">
        <f>"CALJC01"</f>
        <v>CALJC01</v>
      </c>
      <c r="C1504" s="1" t="str">
        <f>"혈중 칼슘 감소"</f>
        <v>혈중 칼슘 감소</v>
      </c>
      <c r="D1504" s="1" t="str">
        <f>"혈액내 칼슘성분이 감소하였습니다. 신진대사에 이상이 있는 경우 증가할 수 있으나 일시적인 현상일 가능성도 있습니다. 재검사를 위해 내원하시어 상담하시기 바랍니다."</f>
        <v>혈액내 칼슘성분이 감소하였습니다. 신진대사에 이상이 있는 경우 증가할 수 있으나 일시적인 현상일 가능성도 있습니다. 재검사를 위해 내원하시어 상담하시기 바랍니다.</v>
      </c>
      <c r="E1504" s="1" t="str">
        <f>""</f>
        <v/>
      </c>
      <c r="F1504" s="1" t="str">
        <f>""</f>
        <v/>
      </c>
      <c r="G1504" s="1" t="str">
        <f>""</f>
        <v/>
      </c>
      <c r="H1504" s="1" t="str">
        <f>""</f>
        <v/>
      </c>
      <c r="I1504" s="1" t="str">
        <f>""</f>
        <v/>
      </c>
      <c r="J1504" s="1" t="str">
        <f>""</f>
        <v/>
      </c>
      <c r="K1504" s="1" t="str">
        <f>""</f>
        <v/>
      </c>
      <c r="L1504" s="1" t="str">
        <f t="shared" si="464"/>
        <v>R</v>
      </c>
      <c r="M1504" s="1" t="str">
        <f>""</f>
        <v/>
      </c>
      <c r="N1504" s="1" t="str">
        <f t="shared" si="465"/>
        <v>Y</v>
      </c>
      <c r="O1504" s="1" t="str">
        <f t="shared" si="462"/>
        <v>Y</v>
      </c>
      <c r="P1504" s="1" t="str">
        <f t="shared" si="467"/>
        <v>Y</v>
      </c>
      <c r="Q1504" s="1" t="str">
        <f t="shared" si="463"/>
        <v>A</v>
      </c>
    </row>
    <row r="1505" spans="1:17" x14ac:dyDescent="0.3">
      <c r="A1505" s="1" t="str">
        <f t="shared" si="468"/>
        <v>JC</v>
      </c>
      <c r="B1505" s="1" t="str">
        <f>"CALJC02"</f>
        <v>CALJC02</v>
      </c>
      <c r="C1505" s="1" t="str">
        <f>"혈중 칼슘 증가"</f>
        <v>혈중 칼슘 증가</v>
      </c>
      <c r="D1505" s="1" t="str">
        <f>"혈액내 칼슘성분이 증가하였습니다. 신진대사에 이상이 있는 경우 증가할 수 있으나 일시적인 현상일 가능성도 있습니다. 원인규명을 위해 상세한 상담 및 진료가 필요합니다. 내원하시어 상담하시거나 내과 진료를 권합니다."</f>
        <v>혈액내 칼슘성분이 증가하였습니다. 신진대사에 이상이 있는 경우 증가할 수 있으나 일시적인 현상일 가능성도 있습니다. 원인규명을 위해 상세한 상담 및 진료가 필요합니다. 내원하시어 상담하시거나 내과 진료를 권합니다.</v>
      </c>
      <c r="E1505" s="1" t="str">
        <f>""</f>
        <v/>
      </c>
      <c r="F1505" s="1" t="str">
        <f>""</f>
        <v/>
      </c>
      <c r="G1505" s="1" t="str">
        <f>""</f>
        <v/>
      </c>
      <c r="H1505" s="1" t="str">
        <f>""</f>
        <v/>
      </c>
      <c r="I1505" s="1" t="str">
        <f>""</f>
        <v/>
      </c>
      <c r="J1505" s="1" t="str">
        <f>""</f>
        <v/>
      </c>
      <c r="K1505" s="1" t="str">
        <f>""</f>
        <v/>
      </c>
      <c r="L1505" s="1" t="str">
        <f t="shared" si="464"/>
        <v>R</v>
      </c>
      <c r="M1505" s="1" t="str">
        <f>""</f>
        <v/>
      </c>
      <c r="N1505" s="1" t="str">
        <f t="shared" si="465"/>
        <v>Y</v>
      </c>
      <c r="O1505" s="1" t="str">
        <f t="shared" si="462"/>
        <v>Y</v>
      </c>
      <c r="P1505" s="1" t="str">
        <f t="shared" si="467"/>
        <v>Y</v>
      </c>
      <c r="Q1505" s="1" t="str">
        <f t="shared" si="463"/>
        <v>A</v>
      </c>
    </row>
    <row r="1506" spans="1:17" x14ac:dyDescent="0.3">
      <c r="A1506" s="1" t="str">
        <f t="shared" si="468"/>
        <v>JC</v>
      </c>
      <c r="B1506" s="1" t="str">
        <f>"CEAJC01"</f>
        <v>CEAJC01</v>
      </c>
      <c r="C1506" s="1" t="str">
        <f>"소화기암 표지자 양성"</f>
        <v>소화기암 표지자 양성</v>
      </c>
      <c r="D1506" s="1" t="str">
        <f>"소화기암 표지자(CEA) 수치가 높게 나왔습니다. 대장암등이 있을때 유의하게 증가하나 위염이나 장염 등이 있으면 증가할 수 있습니다. 원인규명을 위해 진료가 필요합니다. 내원하시어 상담하시거나 소화기내과 진료를 권합니다."</f>
        <v>소화기암 표지자(CEA) 수치가 높게 나왔습니다. 대장암등이 있을때 유의하게 증가하나 위염이나 장염 등이 있으면 증가할 수 있습니다. 원인규명을 위해 진료가 필요합니다. 내원하시어 상담하시거나 소화기내과 진료를 권합니다.</v>
      </c>
      <c r="E1506" s="1" t="str">
        <f>"WOK02"</f>
        <v>WOK02</v>
      </c>
      <c r="F1506" s="1" t="str">
        <f>""</f>
        <v/>
      </c>
      <c r="G1506" s="1" t="str">
        <f>"DISK"</f>
        <v>DISK</v>
      </c>
      <c r="H1506" s="1" t="str">
        <f>"REL05"</f>
        <v>REL05</v>
      </c>
      <c r="I1506" s="1" t="str">
        <f>""</f>
        <v/>
      </c>
      <c r="J1506" s="1" t="str">
        <f>""</f>
        <v/>
      </c>
      <c r="K1506" s="1" t="str">
        <f>""</f>
        <v/>
      </c>
      <c r="L1506" s="1" t="str">
        <f t="shared" si="464"/>
        <v>R</v>
      </c>
      <c r="M1506" s="1" t="str">
        <f>"T02"</f>
        <v>T02</v>
      </c>
      <c r="N1506" s="1" t="str">
        <f t="shared" si="465"/>
        <v>Y</v>
      </c>
      <c r="O1506" s="1" t="str">
        <f t="shared" si="462"/>
        <v>Y</v>
      </c>
      <c r="P1506" s="1" t="str">
        <f t="shared" si="467"/>
        <v>Y</v>
      </c>
      <c r="Q1506" s="1" t="str">
        <f t="shared" si="463"/>
        <v>A</v>
      </c>
    </row>
    <row r="1507" spans="1:17" x14ac:dyDescent="0.3">
      <c r="A1507" s="1" t="str">
        <f t="shared" si="468"/>
        <v>JC</v>
      </c>
      <c r="B1507" s="1" t="str">
        <f>"CHLJC01"</f>
        <v>CHLJC01</v>
      </c>
      <c r="C1507" s="1" t="str">
        <f>"혈중 염소 감소"</f>
        <v>혈중 염소 감소</v>
      </c>
      <c r="D1507" s="1" t="str">
        <f>"혈액내 염소성분이 감소하였습니다. 신진대사에 이상이 있는 경우 나타날 수 있으나 일시적인 현상일 가능성도 있습니다. 원인규명을 위해 상세한 상담 및 진료가 필요합니다. 내원하시어 상담하시거나 내과 진료를 권합니다."</f>
        <v>혈액내 염소성분이 감소하였습니다. 신진대사에 이상이 있는 경우 나타날 수 있으나 일시적인 현상일 가능성도 있습니다. 원인규명을 위해 상세한 상담 및 진료가 필요합니다. 내원하시어 상담하시거나 내과 진료를 권합니다.</v>
      </c>
      <c r="E1507" s="1" t="str">
        <f>""</f>
        <v/>
      </c>
      <c r="F1507" s="1" t="str">
        <f>""</f>
        <v/>
      </c>
      <c r="G1507" s="1" t="str">
        <f>""</f>
        <v/>
      </c>
      <c r="H1507" s="1" t="str">
        <f>""</f>
        <v/>
      </c>
      <c r="I1507" s="1" t="str">
        <f>""</f>
        <v/>
      </c>
      <c r="J1507" s="1" t="str">
        <f>""</f>
        <v/>
      </c>
      <c r="K1507" s="1" t="str">
        <f>""</f>
        <v/>
      </c>
      <c r="L1507" s="1" t="str">
        <f t="shared" si="464"/>
        <v>R</v>
      </c>
      <c r="M1507" s="1" t="str">
        <f>""</f>
        <v/>
      </c>
      <c r="N1507" s="1" t="str">
        <f t="shared" si="465"/>
        <v>Y</v>
      </c>
      <c r="O1507" s="1" t="str">
        <f t="shared" si="462"/>
        <v>Y</v>
      </c>
      <c r="P1507" s="1" t="str">
        <f t="shared" si="467"/>
        <v>Y</v>
      </c>
      <c r="Q1507" s="1" t="str">
        <f t="shared" si="463"/>
        <v>A</v>
      </c>
    </row>
    <row r="1508" spans="1:17" x14ac:dyDescent="0.3">
      <c r="A1508" s="1" t="str">
        <f t="shared" si="468"/>
        <v>JC</v>
      </c>
      <c r="B1508" s="1" t="str">
        <f>"CHLJC02"</f>
        <v>CHLJC02</v>
      </c>
      <c r="C1508" s="1" t="str">
        <f>"혈중 염소 증가"</f>
        <v>혈중 염소 증가</v>
      </c>
      <c r="D1508" s="1" t="str">
        <f>"혈액내 염소성분이 증가하였습니다. 신진대사에 이상이 있는 경우 나타날 수 있으나 일시적인 현상일 가능성도 있습니다. 원인규명을 위해 상세한 상담 및 진료가 필요합니다. 내원하시어 상담하시거나 내과 진료를 권합니다."</f>
        <v>혈액내 염소성분이 증가하였습니다. 신진대사에 이상이 있는 경우 나타날 수 있으나 일시적인 현상일 가능성도 있습니다. 원인규명을 위해 상세한 상담 및 진료가 필요합니다. 내원하시어 상담하시거나 내과 진료를 권합니다.</v>
      </c>
      <c r="E1508" s="1" t="str">
        <f>""</f>
        <v/>
      </c>
      <c r="F1508" s="1" t="str">
        <f>""</f>
        <v/>
      </c>
      <c r="G1508" s="1" t="str">
        <f>""</f>
        <v/>
      </c>
      <c r="H1508" s="1" t="str">
        <f>""</f>
        <v/>
      </c>
      <c r="I1508" s="1" t="str">
        <f>""</f>
        <v/>
      </c>
      <c r="J1508" s="1" t="str">
        <f>""</f>
        <v/>
      </c>
      <c r="K1508" s="1" t="str">
        <f>""</f>
        <v/>
      </c>
      <c r="L1508" s="1" t="str">
        <f t="shared" si="464"/>
        <v>R</v>
      </c>
      <c r="M1508" s="1" t="str">
        <f>""</f>
        <v/>
      </c>
      <c r="N1508" s="1" t="str">
        <f t="shared" si="465"/>
        <v>Y</v>
      </c>
      <c r="O1508" s="1" t="str">
        <f t="shared" si="462"/>
        <v>Y</v>
      </c>
      <c r="P1508" s="1" t="str">
        <f t="shared" si="467"/>
        <v>Y</v>
      </c>
      <c r="Q1508" s="1" t="str">
        <f t="shared" si="463"/>
        <v>A</v>
      </c>
    </row>
    <row r="1509" spans="1:17" x14ac:dyDescent="0.3">
      <c r="A1509" s="1" t="str">
        <f t="shared" si="468"/>
        <v>JC</v>
      </c>
      <c r="B1509" s="1" t="str">
        <f>"CPKJC01"</f>
        <v>CPKJC01</v>
      </c>
      <c r="C1509" s="1" t="str">
        <f>"크레아틴포스포키나제 상승"</f>
        <v>크레아틴포스포키나제 상승</v>
      </c>
      <c r="D1509" s="1" t="str">
        <f>"심장 및 근육에 존재하는 크레아틴포스포키나제(CPK)가 증가했습니다. 심장질환 및 근육질환에서 증가하나 운동후에도 증가할 수 있습니다. 원인규명을 위해 진료가 필요합니다. 내원하시어 상담하시거나 심장내과 진료를 권합니다."</f>
        <v>심장 및 근육에 존재하는 크레아틴포스포키나제(CPK)가 증가했습니다. 심장질환 및 근육질환에서 증가하나 운동후에도 증가할 수 있습니다. 원인규명을 위해 진료가 필요합니다. 내원하시어 상담하시거나 심장내과 진료를 권합니다.</v>
      </c>
      <c r="E1509" s="1" t="str">
        <f>""</f>
        <v/>
      </c>
      <c r="F1509" s="1" t="str">
        <f>""</f>
        <v/>
      </c>
      <c r="G1509" s="1" t="str">
        <f>""</f>
        <v/>
      </c>
      <c r="H1509" s="1" t="str">
        <f>""</f>
        <v/>
      </c>
      <c r="I1509" s="1" t="str">
        <f>""</f>
        <v/>
      </c>
      <c r="J1509" s="1" t="str">
        <f>""</f>
        <v/>
      </c>
      <c r="K1509" s="1" t="str">
        <f>""</f>
        <v/>
      </c>
      <c r="L1509" s="1" t="str">
        <f t="shared" si="464"/>
        <v>R</v>
      </c>
      <c r="M1509" s="1" t="str">
        <f>""</f>
        <v/>
      </c>
      <c r="N1509" s="1" t="str">
        <f t="shared" si="465"/>
        <v>Y</v>
      </c>
      <c r="O1509" s="1" t="str">
        <f t="shared" si="462"/>
        <v>Y</v>
      </c>
      <c r="P1509" s="1" t="str">
        <f t="shared" si="467"/>
        <v>Y</v>
      </c>
      <c r="Q1509" s="1" t="str">
        <f t="shared" si="463"/>
        <v>A</v>
      </c>
    </row>
    <row r="1510" spans="1:17" x14ac:dyDescent="0.3">
      <c r="A1510" s="1" t="str">
        <f t="shared" si="468"/>
        <v>JC</v>
      </c>
      <c r="B1510" s="1" t="str">
        <f>"CREJC01"</f>
        <v>CREJC01</v>
      </c>
      <c r="C1510" s="1" t="str">
        <f>"혈중 크레아티닌 상승"</f>
        <v>혈중 크레아티닌 상승</v>
      </c>
      <c r="D1510" s="1" t="str">
        <f>"혈중 크레아티닌(Creatinine)치가 높습니다. 신기능을 나타내는 지표로서 신장에서 혈액의 불순물을 제거하여 소변으로 배설하는 기능에 이상이 생긴 것을 의심케 합니다. 진료를 위해 내원하시기 바랍니다."</f>
        <v>혈중 크레아티닌(Creatinine)치가 높습니다. 신기능을 나타내는 지표로서 신장에서 혈액의 불순물을 제거하여 소변으로 배설하는 기능에 이상이 생긴 것을 의심케 합니다. 진료를 위해 내원하시기 바랍니다.</v>
      </c>
      <c r="E1510" s="1" t="str">
        <f>"WOK02"</f>
        <v>WOK02</v>
      </c>
      <c r="F1510" s="1" t="str">
        <f>""</f>
        <v/>
      </c>
      <c r="G1510" s="1" t="str">
        <f>"DISN"</f>
        <v>DISN</v>
      </c>
      <c r="H1510" s="1" t="str">
        <f>"REL08"</f>
        <v>REL08</v>
      </c>
      <c r="I1510" s="1" t="str">
        <f>""</f>
        <v/>
      </c>
      <c r="J1510" s="1" t="str">
        <f>""</f>
        <v/>
      </c>
      <c r="K1510" s="1" t="str">
        <f>""</f>
        <v/>
      </c>
      <c r="L1510" s="1" t="str">
        <f t="shared" si="464"/>
        <v>R</v>
      </c>
      <c r="M1510" s="1" t="str">
        <f>"T05"</f>
        <v>T05</v>
      </c>
      <c r="N1510" s="1" t="str">
        <f t="shared" si="465"/>
        <v>Y</v>
      </c>
      <c r="O1510" s="1" t="str">
        <f t="shared" si="462"/>
        <v>Y</v>
      </c>
      <c r="P1510" s="1" t="str">
        <f t="shared" si="467"/>
        <v>Y</v>
      </c>
      <c r="Q1510" s="1" t="str">
        <f t="shared" si="463"/>
        <v>A</v>
      </c>
    </row>
    <row r="1511" spans="1:17" x14ac:dyDescent="0.3">
      <c r="A1511" s="1" t="str">
        <f t="shared" si="468"/>
        <v>JC</v>
      </c>
      <c r="B1511" s="1" t="str">
        <f>"CRPJC01"</f>
        <v>CRPJC01</v>
      </c>
      <c r="C1511" s="1" t="str">
        <f>"C반응 단백 양성"</f>
        <v>C반응 단백 양성</v>
      </c>
      <c r="D1511" s="1" t="str">
        <f>"염증지표(C반응 단백)가 양성으로 나왔습니다. 염증지표(C반응 단백)는 주로 염증성 질환시 양성으로 나오지만 일시적 현상으로도 나타날 수 있습니다. 1개월후 재검사하여 확인하시기 바랍니다."</f>
        <v>염증지표(C반응 단백)가 양성으로 나왔습니다. 염증지표(C반응 단백)는 주로 염증성 질환시 양성으로 나오지만 일시적 현상으로도 나타날 수 있습니다. 1개월후 재검사하여 확인하시기 바랍니다.</v>
      </c>
      <c r="E1511" s="1" t="str">
        <f>""</f>
        <v/>
      </c>
      <c r="F1511" s="1" t="str">
        <f>""</f>
        <v/>
      </c>
      <c r="G1511" s="1" t="str">
        <f>""</f>
        <v/>
      </c>
      <c r="H1511" s="1" t="str">
        <f>""</f>
        <v/>
      </c>
      <c r="I1511" s="1" t="str">
        <f>""</f>
        <v/>
      </c>
      <c r="J1511" s="1" t="str">
        <f>""</f>
        <v/>
      </c>
      <c r="K1511" s="1" t="str">
        <f>""</f>
        <v/>
      </c>
      <c r="L1511" s="1" t="str">
        <f t="shared" si="464"/>
        <v>R</v>
      </c>
      <c r="M1511" s="1" t="str">
        <f>""</f>
        <v/>
      </c>
      <c r="N1511" s="1" t="str">
        <f t="shared" si="465"/>
        <v>Y</v>
      </c>
      <c r="O1511" s="1" t="str">
        <f t="shared" si="462"/>
        <v>Y</v>
      </c>
      <c r="P1511" s="1" t="str">
        <f t="shared" si="467"/>
        <v>Y</v>
      </c>
      <c r="Q1511" s="1" t="str">
        <f t="shared" si="463"/>
        <v>A</v>
      </c>
    </row>
    <row r="1512" spans="1:17" x14ac:dyDescent="0.3">
      <c r="A1512" s="1" t="str">
        <f t="shared" si="468"/>
        <v>JC</v>
      </c>
      <c r="B1512" s="1" t="str">
        <f>"CYFJC01"</f>
        <v>CYFJC01</v>
      </c>
      <c r="C1512" s="1" t="str">
        <f>"폐암 표지자 양성"</f>
        <v>폐암 표지자 양성</v>
      </c>
      <c r="D1512" s="1" t="s">
        <v>450</v>
      </c>
      <c r="E1512" s="1" t="str">
        <f>""</f>
        <v/>
      </c>
      <c r="F1512" s="1" t="str">
        <f>""</f>
        <v/>
      </c>
      <c r="G1512" s="1" t="str">
        <f>""</f>
        <v/>
      </c>
      <c r="H1512" s="1" t="str">
        <f>""</f>
        <v/>
      </c>
      <c r="I1512" s="1" t="str">
        <f>""</f>
        <v/>
      </c>
      <c r="J1512" s="1" t="str">
        <f>""</f>
        <v/>
      </c>
      <c r="K1512" s="1" t="str">
        <f>""</f>
        <v/>
      </c>
      <c r="L1512" s="1" t="str">
        <f t="shared" si="464"/>
        <v>R</v>
      </c>
      <c r="M1512" s="1" t="str">
        <f>""</f>
        <v/>
      </c>
      <c r="N1512" s="1" t="str">
        <f t="shared" si="465"/>
        <v>Y</v>
      </c>
      <c r="O1512" s="1" t="str">
        <f t="shared" si="462"/>
        <v>Y</v>
      </c>
      <c r="P1512" s="1" t="str">
        <f t="shared" si="467"/>
        <v>Y</v>
      </c>
      <c r="Q1512" s="1" t="str">
        <f t="shared" si="463"/>
        <v>A</v>
      </c>
    </row>
    <row r="1513" spans="1:17" x14ac:dyDescent="0.3">
      <c r="A1513" s="1" t="str">
        <f t="shared" si="468"/>
        <v>JC</v>
      </c>
      <c r="B1513" s="1" t="str">
        <f>"DENJC01"</f>
        <v>DENJC01</v>
      </c>
      <c r="C1513" s="1" t="str">
        <f>"치석제거"</f>
        <v>치석제거</v>
      </c>
      <c r="D1513" s="1" t="str">
        <f>"치과검사상 치석제거(스켈링)가 필요합니다."</f>
        <v>치과검사상 치석제거(스켈링)가 필요합니다.</v>
      </c>
      <c r="E1513" s="1" t="str">
        <f>""</f>
        <v/>
      </c>
      <c r="F1513" s="1" t="str">
        <f>""</f>
        <v/>
      </c>
      <c r="G1513" s="1" t="str">
        <f>""</f>
        <v/>
      </c>
      <c r="H1513" s="1" t="str">
        <f>""</f>
        <v/>
      </c>
      <c r="I1513" s="1" t="str">
        <f>""</f>
        <v/>
      </c>
      <c r="J1513" s="1" t="str">
        <f>""</f>
        <v/>
      </c>
      <c r="K1513" s="1" t="str">
        <f>""</f>
        <v/>
      </c>
      <c r="L1513" s="1" t="str">
        <f t="shared" si="464"/>
        <v>R</v>
      </c>
      <c r="M1513" s="1" t="str">
        <f>""</f>
        <v/>
      </c>
      <c r="N1513" s="1" t="str">
        <f t="shared" si="465"/>
        <v>Y</v>
      </c>
      <c r="O1513" s="1" t="str">
        <f t="shared" si="462"/>
        <v>Y</v>
      </c>
      <c r="P1513" s="1" t="str">
        <f t="shared" si="467"/>
        <v>Y</v>
      </c>
      <c r="Q1513" s="1" t="str">
        <f t="shared" si="463"/>
        <v>A</v>
      </c>
    </row>
    <row r="1514" spans="1:17" x14ac:dyDescent="0.3">
      <c r="A1514" s="1" t="str">
        <f t="shared" si="468"/>
        <v>JC</v>
      </c>
      <c r="B1514" s="1" t="str">
        <f>"DENJC02"</f>
        <v>DENJC02</v>
      </c>
      <c r="C1514" s="1" t="str">
        <f>"이를 해넣는 것"</f>
        <v>이를 해넣는 것</v>
      </c>
      <c r="D1514" s="1" t="str">
        <f>"치과검사상 이를 해넣는 것이 필요합니다."</f>
        <v>치과검사상 이를 해넣는 것이 필요합니다.</v>
      </c>
      <c r="E1514" s="1" t="str">
        <f>""</f>
        <v/>
      </c>
      <c r="F1514" s="1" t="str">
        <f>""</f>
        <v/>
      </c>
      <c r="G1514" s="1" t="str">
        <f>""</f>
        <v/>
      </c>
      <c r="H1514" s="1" t="str">
        <f>""</f>
        <v/>
      </c>
      <c r="I1514" s="1" t="str">
        <f>""</f>
        <v/>
      </c>
      <c r="J1514" s="1" t="str">
        <f>""</f>
        <v/>
      </c>
      <c r="K1514" s="1" t="str">
        <f>""</f>
        <v/>
      </c>
      <c r="L1514" s="1" t="str">
        <f t="shared" si="464"/>
        <v>R</v>
      </c>
      <c r="M1514" s="1" t="str">
        <f>""</f>
        <v/>
      </c>
      <c r="N1514" s="1" t="str">
        <f t="shared" si="465"/>
        <v>Y</v>
      </c>
      <c r="O1514" s="1" t="str">
        <f t="shared" si="462"/>
        <v>Y</v>
      </c>
      <c r="P1514" s="1" t="str">
        <f t="shared" si="467"/>
        <v>Y</v>
      </c>
      <c r="Q1514" s="1" t="str">
        <f t="shared" si="463"/>
        <v>A</v>
      </c>
    </row>
    <row r="1515" spans="1:17" x14ac:dyDescent="0.3">
      <c r="A1515" s="1" t="str">
        <f t="shared" si="468"/>
        <v>JC</v>
      </c>
      <c r="B1515" s="1" t="str">
        <f>"DENJC03"</f>
        <v>DENJC03</v>
      </c>
      <c r="C1515" s="1" t="str">
        <f>"치아 우식증"</f>
        <v>치아 우식증</v>
      </c>
      <c r="D1515" s="1" t="str">
        <f>"치과검사상 치아 우식증(충치)에 대한 치료가 필요합니다."</f>
        <v>치과검사상 치아 우식증(충치)에 대한 치료가 필요합니다.</v>
      </c>
      <c r="E1515" s="1" t="str">
        <f>""</f>
        <v/>
      </c>
      <c r="F1515" s="1" t="str">
        <f>""</f>
        <v/>
      </c>
      <c r="G1515" s="1" t="str">
        <f>""</f>
        <v/>
      </c>
      <c r="H1515" s="1" t="str">
        <f>""</f>
        <v/>
      </c>
      <c r="I1515" s="1" t="str">
        <f>""</f>
        <v/>
      </c>
      <c r="J1515" s="1" t="str">
        <f>""</f>
        <v/>
      </c>
      <c r="K1515" s="1" t="str">
        <f>""</f>
        <v/>
      </c>
      <c r="L1515" s="1" t="str">
        <f t="shared" si="464"/>
        <v>R</v>
      </c>
      <c r="M1515" s="1" t="str">
        <f>""</f>
        <v/>
      </c>
      <c r="N1515" s="1" t="str">
        <f t="shared" si="465"/>
        <v>Y</v>
      </c>
      <c r="O1515" s="1" t="str">
        <f t="shared" si="462"/>
        <v>Y</v>
      </c>
      <c r="P1515" s="1" t="str">
        <f t="shared" si="467"/>
        <v>Y</v>
      </c>
      <c r="Q1515" s="1" t="str">
        <f t="shared" si="463"/>
        <v>A</v>
      </c>
    </row>
    <row r="1516" spans="1:17" x14ac:dyDescent="0.3">
      <c r="A1516" s="1" t="str">
        <f t="shared" si="468"/>
        <v>JC</v>
      </c>
      <c r="B1516" s="1" t="str">
        <f>"DENJC04"</f>
        <v>DENJC04</v>
      </c>
      <c r="C1516" s="1" t="str">
        <f>"예방치료"</f>
        <v>예방치료</v>
      </c>
      <c r="D1516" s="1" t="s">
        <v>451</v>
      </c>
      <c r="E1516" s="1" t="str">
        <f>""</f>
        <v/>
      </c>
      <c r="F1516" s="1" t="str">
        <f>""</f>
        <v/>
      </c>
      <c r="G1516" s="1" t="str">
        <f>""</f>
        <v/>
      </c>
      <c r="H1516" s="1" t="str">
        <f>""</f>
        <v/>
      </c>
      <c r="I1516" s="1" t="str">
        <f>""</f>
        <v/>
      </c>
      <c r="J1516" s="1" t="str">
        <f>""</f>
        <v/>
      </c>
      <c r="K1516" s="1" t="str">
        <f>""</f>
        <v/>
      </c>
      <c r="L1516" s="1" t="str">
        <f t="shared" si="464"/>
        <v>R</v>
      </c>
      <c r="M1516" s="1" t="str">
        <f>""</f>
        <v/>
      </c>
      <c r="N1516" s="1" t="str">
        <f t="shared" si="465"/>
        <v>Y</v>
      </c>
      <c r="O1516" s="1" t="str">
        <f t="shared" si="462"/>
        <v>Y</v>
      </c>
      <c r="P1516" s="1" t="str">
        <f t="shared" si="467"/>
        <v>Y</v>
      </c>
      <c r="Q1516" s="1" t="str">
        <f t="shared" si="463"/>
        <v>A</v>
      </c>
    </row>
    <row r="1517" spans="1:17" x14ac:dyDescent="0.3">
      <c r="A1517" s="1" t="str">
        <f t="shared" si="468"/>
        <v>JC</v>
      </c>
      <c r="B1517" s="1" t="str">
        <f>"DENJC05"</f>
        <v>DENJC05</v>
      </c>
      <c r="C1517" s="1" t="str">
        <f>"마모"</f>
        <v>마모</v>
      </c>
      <c r="D1517" s="1" t="str">
        <f>"치과검사상 치경부의 마모에 대한 치료가 필요합니다."</f>
        <v>치과검사상 치경부의 마모에 대한 치료가 필요합니다.</v>
      </c>
      <c r="E1517" s="1" t="str">
        <f>""</f>
        <v/>
      </c>
      <c r="F1517" s="1" t="str">
        <f>""</f>
        <v/>
      </c>
      <c r="G1517" s="1" t="str">
        <f>""</f>
        <v/>
      </c>
      <c r="H1517" s="1" t="str">
        <f>""</f>
        <v/>
      </c>
      <c r="I1517" s="1" t="str">
        <f>""</f>
        <v/>
      </c>
      <c r="J1517" s="1" t="str">
        <f>""</f>
        <v/>
      </c>
      <c r="K1517" s="1" t="str">
        <f>""</f>
        <v/>
      </c>
      <c r="L1517" s="1" t="str">
        <f t="shared" si="464"/>
        <v>R</v>
      </c>
      <c r="M1517" s="1" t="str">
        <f>""</f>
        <v/>
      </c>
      <c r="N1517" s="1" t="str">
        <f t="shared" si="465"/>
        <v>Y</v>
      </c>
      <c r="O1517" s="1" t="str">
        <f t="shared" si="462"/>
        <v>Y</v>
      </c>
      <c r="P1517" s="1" t="str">
        <f t="shared" si="467"/>
        <v>Y</v>
      </c>
      <c r="Q1517" s="1" t="str">
        <f t="shared" si="463"/>
        <v>A</v>
      </c>
    </row>
    <row r="1518" spans="1:17" x14ac:dyDescent="0.3">
      <c r="A1518" s="1" t="str">
        <f t="shared" si="468"/>
        <v>JC</v>
      </c>
      <c r="B1518" s="1" t="str">
        <f>"DENJC06"</f>
        <v>DENJC06</v>
      </c>
      <c r="C1518" s="1" t="str">
        <f>"사랑니"</f>
        <v>사랑니</v>
      </c>
      <c r="D1518" s="1" t="str">
        <f>"치과검사상 사랑니가 매복되어 있어 사랑니 발치가 필요합니다."</f>
        <v>치과검사상 사랑니가 매복되어 있어 사랑니 발치가 필요합니다.</v>
      </c>
      <c r="E1518" s="1" t="str">
        <f>""</f>
        <v/>
      </c>
      <c r="F1518" s="1" t="str">
        <f>""</f>
        <v/>
      </c>
      <c r="G1518" s="1" t="str">
        <f>""</f>
        <v/>
      </c>
      <c r="H1518" s="1" t="str">
        <f>""</f>
        <v/>
      </c>
      <c r="I1518" s="1" t="str">
        <f>""</f>
        <v/>
      </c>
      <c r="J1518" s="1" t="str">
        <f>""</f>
        <v/>
      </c>
      <c r="K1518" s="1" t="str">
        <f>""</f>
        <v/>
      </c>
      <c r="L1518" s="1" t="str">
        <f t="shared" si="464"/>
        <v>R</v>
      </c>
      <c r="M1518" s="1" t="str">
        <f>""</f>
        <v/>
      </c>
      <c r="N1518" s="1" t="str">
        <f t="shared" si="465"/>
        <v>Y</v>
      </c>
      <c r="O1518" s="1" t="str">
        <f t="shared" si="462"/>
        <v>Y</v>
      </c>
      <c r="P1518" s="1" t="str">
        <f t="shared" si="467"/>
        <v>Y</v>
      </c>
      <c r="Q1518" s="1" t="str">
        <f t="shared" si="463"/>
        <v>A</v>
      </c>
    </row>
    <row r="1519" spans="1:17" x14ac:dyDescent="0.3">
      <c r="A1519" s="1" t="str">
        <f t="shared" si="468"/>
        <v>JC</v>
      </c>
      <c r="B1519" s="1" t="str">
        <f>"DENJC07"</f>
        <v>DENJC07</v>
      </c>
      <c r="C1519" s="1" t="str">
        <f>"치아보철"</f>
        <v>치아보철</v>
      </c>
      <c r="D1519" s="1" t="str">
        <f>"치과검사상 치아보철이 필요합니다."</f>
        <v>치과검사상 치아보철이 필요합니다.</v>
      </c>
      <c r="E1519" s="1" t="str">
        <f>""</f>
        <v/>
      </c>
      <c r="F1519" s="1" t="str">
        <f>""</f>
        <v/>
      </c>
      <c r="G1519" s="1" t="str">
        <f>""</f>
        <v/>
      </c>
      <c r="H1519" s="1" t="str">
        <f>""</f>
        <v/>
      </c>
      <c r="I1519" s="1" t="str">
        <f>""</f>
        <v/>
      </c>
      <c r="J1519" s="1" t="str">
        <f>""</f>
        <v/>
      </c>
      <c r="K1519" s="1" t="str">
        <f>""</f>
        <v/>
      </c>
      <c r="L1519" s="1" t="str">
        <f t="shared" si="464"/>
        <v>R</v>
      </c>
      <c r="M1519" s="1" t="str">
        <f>""</f>
        <v/>
      </c>
      <c r="N1519" s="1" t="str">
        <f t="shared" si="465"/>
        <v>Y</v>
      </c>
      <c r="O1519" s="1" t="str">
        <f t="shared" si="462"/>
        <v>Y</v>
      </c>
      <c r="P1519" s="1" t="str">
        <f t="shared" si="467"/>
        <v>Y</v>
      </c>
      <c r="Q1519" s="1" t="str">
        <f t="shared" si="463"/>
        <v>A</v>
      </c>
    </row>
    <row r="1520" spans="1:17" x14ac:dyDescent="0.3">
      <c r="A1520" s="1" t="str">
        <f t="shared" si="468"/>
        <v>JC</v>
      </c>
      <c r="B1520" s="1" t="str">
        <f>"DENJC08"</f>
        <v>DENJC08</v>
      </c>
      <c r="C1520" s="1" t="str">
        <f>"치주질환"</f>
        <v>치주질환</v>
      </c>
      <c r="D1520" s="1" t="str">
        <f>"치과검사상 치주질환이 의심됩니다. 치과치료를 권합니다."</f>
        <v>치과검사상 치주질환이 의심됩니다. 치과치료를 권합니다.</v>
      </c>
      <c r="E1520" s="1" t="str">
        <f>""</f>
        <v/>
      </c>
      <c r="F1520" s="1" t="str">
        <f>""</f>
        <v/>
      </c>
      <c r="G1520" s="1" t="str">
        <f>""</f>
        <v/>
      </c>
      <c r="H1520" s="1" t="str">
        <f>""</f>
        <v/>
      </c>
      <c r="I1520" s="1" t="str">
        <f>""</f>
        <v/>
      </c>
      <c r="J1520" s="1" t="str">
        <f>""</f>
        <v/>
      </c>
      <c r="K1520" s="1" t="str">
        <f>""</f>
        <v/>
      </c>
      <c r="L1520" s="1" t="str">
        <f t="shared" si="464"/>
        <v>R</v>
      </c>
      <c r="M1520" s="1" t="str">
        <f>""</f>
        <v/>
      </c>
      <c r="N1520" s="1" t="str">
        <f t="shared" si="465"/>
        <v>Y</v>
      </c>
      <c r="O1520" s="1" t="str">
        <f t="shared" si="462"/>
        <v>Y</v>
      </c>
      <c r="P1520" s="1" t="str">
        <f t="shared" si="467"/>
        <v>Y</v>
      </c>
      <c r="Q1520" s="1" t="str">
        <f t="shared" si="463"/>
        <v>A</v>
      </c>
    </row>
    <row r="1521" spans="1:17" x14ac:dyDescent="0.3">
      <c r="A1521" s="1" t="str">
        <f t="shared" si="468"/>
        <v>JC</v>
      </c>
      <c r="B1521" s="1" t="str">
        <f>"DENJC09"</f>
        <v>DENJC09</v>
      </c>
      <c r="C1521" s="1" t="str">
        <f>"발치"</f>
        <v>발치</v>
      </c>
      <c r="D1521" s="1" t="str">
        <f>"치과검사상 발치가 필요합니다.  가까운 치과를 방문하시어 치료하시기 바랍니다."</f>
        <v>치과검사상 발치가 필요합니다.  가까운 치과를 방문하시어 치료하시기 바랍니다.</v>
      </c>
      <c r="E1521" s="1" t="str">
        <f>""</f>
        <v/>
      </c>
      <c r="F1521" s="1" t="str">
        <f>""</f>
        <v/>
      </c>
      <c r="G1521" s="1" t="str">
        <f>""</f>
        <v/>
      </c>
      <c r="H1521" s="1" t="str">
        <f>""</f>
        <v/>
      </c>
      <c r="I1521" s="1" t="str">
        <f>""</f>
        <v/>
      </c>
      <c r="J1521" s="1" t="str">
        <f>""</f>
        <v/>
      </c>
      <c r="K1521" s="1" t="str">
        <f>""</f>
        <v/>
      </c>
      <c r="L1521" s="1" t="str">
        <f t="shared" si="464"/>
        <v>R</v>
      </c>
      <c r="M1521" s="1" t="str">
        <f>""</f>
        <v/>
      </c>
      <c r="N1521" s="1" t="str">
        <f t="shared" si="465"/>
        <v>Y</v>
      </c>
      <c r="O1521" s="1" t="str">
        <f t="shared" si="462"/>
        <v>Y</v>
      </c>
      <c r="P1521" s="1" t="str">
        <f t="shared" si="467"/>
        <v>Y</v>
      </c>
      <c r="Q1521" s="1" t="str">
        <f t="shared" si="463"/>
        <v>A</v>
      </c>
    </row>
    <row r="1522" spans="1:17" x14ac:dyDescent="0.3">
      <c r="A1522" s="1" t="str">
        <f t="shared" si="468"/>
        <v>JC</v>
      </c>
      <c r="B1522" s="1" t="str">
        <f>"DENJC10"</f>
        <v>DENJC10</v>
      </c>
      <c r="C1522" s="1" t="str">
        <f>"악관절"</f>
        <v>악관절</v>
      </c>
      <c r="D1522" s="1" t="str">
        <f>"치과검사상 악관절 증상이 있습니다. 치료를 권합니다."</f>
        <v>치과검사상 악관절 증상이 있습니다. 치료를 권합니다.</v>
      </c>
      <c r="E1522" s="1" t="str">
        <f>""</f>
        <v/>
      </c>
      <c r="F1522" s="1" t="str">
        <f>""</f>
        <v/>
      </c>
      <c r="G1522" s="1" t="str">
        <f>""</f>
        <v/>
      </c>
      <c r="H1522" s="1" t="str">
        <f>""</f>
        <v/>
      </c>
      <c r="I1522" s="1" t="str">
        <f>""</f>
        <v/>
      </c>
      <c r="J1522" s="1" t="str">
        <f>""</f>
        <v/>
      </c>
      <c r="K1522" s="1" t="str">
        <f>""</f>
        <v/>
      </c>
      <c r="L1522" s="1" t="str">
        <f t="shared" si="464"/>
        <v>R</v>
      </c>
      <c r="M1522" s="1" t="str">
        <f>""</f>
        <v/>
      </c>
      <c r="N1522" s="1" t="str">
        <f t="shared" si="465"/>
        <v>Y</v>
      </c>
      <c r="O1522" s="1" t="str">
        <f t="shared" si="462"/>
        <v>Y</v>
      </c>
      <c r="P1522" s="1" t="str">
        <f t="shared" si="467"/>
        <v>Y</v>
      </c>
      <c r="Q1522" s="1" t="str">
        <f t="shared" si="463"/>
        <v>A</v>
      </c>
    </row>
    <row r="1523" spans="1:17" x14ac:dyDescent="0.3">
      <c r="A1523" s="1" t="str">
        <f t="shared" si="468"/>
        <v>JC</v>
      </c>
      <c r="B1523" s="1" t="str">
        <f>"DENJC11"</f>
        <v>DENJC11</v>
      </c>
      <c r="C1523" s="1" t="str">
        <f>"레진치료"</f>
        <v>레진치료</v>
      </c>
      <c r="D1523" s="1" t="str">
        <f>"치과검사상 레진치료가 필요합니다."</f>
        <v>치과검사상 레진치료가 필요합니다.</v>
      </c>
      <c r="E1523" s="1" t="str">
        <f>""</f>
        <v/>
      </c>
      <c r="F1523" s="1" t="str">
        <f>""</f>
        <v/>
      </c>
      <c r="G1523" s="1" t="str">
        <f>""</f>
        <v/>
      </c>
      <c r="H1523" s="1" t="str">
        <f>""</f>
        <v/>
      </c>
      <c r="I1523" s="1" t="str">
        <f>""</f>
        <v/>
      </c>
      <c r="J1523" s="1" t="str">
        <f>""</f>
        <v/>
      </c>
      <c r="K1523" s="1" t="str">
        <f>""</f>
        <v/>
      </c>
      <c r="L1523" s="1" t="str">
        <f t="shared" si="464"/>
        <v>R</v>
      </c>
      <c r="M1523" s="1" t="str">
        <f>""</f>
        <v/>
      </c>
      <c r="N1523" s="1" t="str">
        <f t="shared" si="465"/>
        <v>Y</v>
      </c>
      <c r="O1523" s="1" t="str">
        <f t="shared" si="462"/>
        <v>Y</v>
      </c>
      <c r="P1523" s="1" t="str">
        <f t="shared" si="467"/>
        <v>Y</v>
      </c>
      <c r="Q1523" s="1" t="str">
        <f t="shared" si="463"/>
        <v>A</v>
      </c>
    </row>
    <row r="1524" spans="1:17" x14ac:dyDescent="0.3">
      <c r="A1524" s="1" t="str">
        <f t="shared" si="468"/>
        <v>JC</v>
      </c>
      <c r="B1524" s="1" t="str">
        <f>"ENDJC01"</f>
        <v>ENDJC01</v>
      </c>
      <c r="C1524" s="1" t="str">
        <f>"칸디다"</f>
        <v>칸디다</v>
      </c>
      <c r="D1524" s="1" t="str">
        <f>"상부위장관 내시경검사에서 식도 칸디다증 소견입니다. 식도 칸디다증은 칸디다라는 곰팡이균이 식도에 감염되어 발생하는 질환입니다. 내원하여 상담하시기 바랍니다."</f>
        <v>상부위장관 내시경검사에서 식도 칸디다증 소견입니다. 식도 칸디다증은 칸디다라는 곰팡이균이 식도에 감염되어 발생하는 질환입니다. 내원하여 상담하시기 바랍니다.</v>
      </c>
      <c r="E1524" s="1" t="str">
        <f>""</f>
        <v/>
      </c>
      <c r="F1524" s="1" t="str">
        <f>""</f>
        <v/>
      </c>
      <c r="G1524" s="1" t="str">
        <f>""</f>
        <v/>
      </c>
      <c r="H1524" s="1" t="str">
        <f>""</f>
        <v/>
      </c>
      <c r="I1524" s="1" t="str">
        <f>""</f>
        <v/>
      </c>
      <c r="J1524" s="1" t="str">
        <f>""</f>
        <v/>
      </c>
      <c r="K1524" s="1" t="str">
        <f>""</f>
        <v/>
      </c>
      <c r="L1524" s="1" t="str">
        <f t="shared" si="464"/>
        <v>R</v>
      </c>
      <c r="M1524" s="1" t="str">
        <f>""</f>
        <v/>
      </c>
      <c r="N1524" s="1" t="str">
        <f t="shared" si="465"/>
        <v>Y</v>
      </c>
      <c r="O1524" s="1" t="str">
        <f t="shared" si="462"/>
        <v>Y</v>
      </c>
      <c r="P1524" s="1" t="str">
        <f t="shared" si="467"/>
        <v>Y</v>
      </c>
      <c r="Q1524" s="1" t="str">
        <f t="shared" si="463"/>
        <v>A</v>
      </c>
    </row>
    <row r="1525" spans="1:17" x14ac:dyDescent="0.3">
      <c r="A1525" s="1" t="str">
        <f t="shared" ref="A1525:A1556" si="469">"JC"</f>
        <v>JC</v>
      </c>
      <c r="B1525" s="1" t="str">
        <f>"ENDJC02"</f>
        <v>ENDJC02</v>
      </c>
      <c r="C1525" s="1" t="str">
        <f>"역류성 식도염"</f>
        <v>역류성 식도염</v>
      </c>
      <c r="D1525" s="1" t="s">
        <v>452</v>
      </c>
      <c r="E1525" s="1" t="str">
        <f>""</f>
        <v/>
      </c>
      <c r="F1525" s="1" t="str">
        <f>""</f>
        <v/>
      </c>
      <c r="G1525" s="1" t="str">
        <f>""</f>
        <v/>
      </c>
      <c r="H1525" s="1" t="str">
        <f>""</f>
        <v/>
      </c>
      <c r="I1525" s="1" t="str">
        <f>""</f>
        <v/>
      </c>
      <c r="J1525" s="1" t="str">
        <f>""</f>
        <v/>
      </c>
      <c r="K1525" s="1" t="str">
        <f>""</f>
        <v/>
      </c>
      <c r="L1525" s="1" t="str">
        <f t="shared" si="464"/>
        <v>R</v>
      </c>
      <c r="M1525" s="1" t="str">
        <f>""</f>
        <v/>
      </c>
      <c r="N1525" s="1" t="str">
        <f t="shared" si="465"/>
        <v>Y</v>
      </c>
      <c r="O1525" s="1" t="str">
        <f t="shared" si="462"/>
        <v>Y</v>
      </c>
      <c r="P1525" s="1" t="str">
        <f t="shared" si="467"/>
        <v>Y</v>
      </c>
      <c r="Q1525" s="1" t="str">
        <f t="shared" si="463"/>
        <v>A</v>
      </c>
    </row>
    <row r="1526" spans="1:17" x14ac:dyDescent="0.3">
      <c r="A1526" s="1" t="str">
        <f t="shared" si="469"/>
        <v>JC</v>
      </c>
      <c r="B1526" s="1" t="str">
        <f>"ENDJC03"</f>
        <v>ENDJC03</v>
      </c>
      <c r="C1526" s="1" t="str">
        <f>"바렛식도"</f>
        <v>바렛식도</v>
      </c>
      <c r="D1526" s="1" t="str">
        <f>"위내시경검사에서 바렛식도 소견입니다. 바렛식도는 위산이 장기간 식도로 역류하는 경우 식도의 점막이 변형된 것을 말합니다. 바렛식도가 있는 경우 암으로 발전할 가능성이 있으므로 6개월 주기로 내시경검사를 받는 것을 권합니다."</f>
        <v>위내시경검사에서 바렛식도 소견입니다. 바렛식도는 위산이 장기간 식도로 역류하는 경우 식도의 점막이 변형된 것을 말합니다. 바렛식도가 있는 경우 암으로 발전할 가능성이 있으므로 6개월 주기로 내시경검사를 받는 것을 권합니다.</v>
      </c>
      <c r="E1526" s="1" t="str">
        <f>""</f>
        <v/>
      </c>
      <c r="F1526" s="1" t="str">
        <f>""</f>
        <v/>
      </c>
      <c r="G1526" s="1" t="str">
        <f>""</f>
        <v/>
      </c>
      <c r="H1526" s="1" t="str">
        <f>""</f>
        <v/>
      </c>
      <c r="I1526" s="1" t="str">
        <f>""</f>
        <v/>
      </c>
      <c r="J1526" s="1" t="str">
        <f>""</f>
        <v/>
      </c>
      <c r="K1526" s="1" t="str">
        <f>""</f>
        <v/>
      </c>
      <c r="L1526" s="1" t="str">
        <f t="shared" si="464"/>
        <v>R</v>
      </c>
      <c r="M1526" s="1" t="str">
        <f>""</f>
        <v/>
      </c>
      <c r="N1526" s="1" t="str">
        <f t="shared" si="465"/>
        <v>Y</v>
      </c>
      <c r="O1526" s="1" t="str">
        <f t="shared" si="462"/>
        <v>Y</v>
      </c>
      <c r="P1526" s="1" t="str">
        <f t="shared" si="467"/>
        <v>Y</v>
      </c>
      <c r="Q1526" s="1" t="str">
        <f t="shared" si="463"/>
        <v>A</v>
      </c>
    </row>
    <row r="1527" spans="1:17" x14ac:dyDescent="0.3">
      <c r="A1527" s="1" t="str">
        <f t="shared" si="469"/>
        <v>JC</v>
      </c>
      <c r="B1527" s="1" t="str">
        <f>"ENDJC04"</f>
        <v>ENDJC04</v>
      </c>
      <c r="C1527" s="1" t="str">
        <f>"비후성위염"</f>
        <v>비후성위염</v>
      </c>
      <c r="D1527" s="1" t="s">
        <v>453</v>
      </c>
      <c r="E1527" s="1" t="str">
        <f>""</f>
        <v/>
      </c>
      <c r="F1527" s="1" t="str">
        <f>""</f>
        <v/>
      </c>
      <c r="G1527" s="1" t="str">
        <f>""</f>
        <v/>
      </c>
      <c r="H1527" s="1" t="str">
        <f>""</f>
        <v/>
      </c>
      <c r="I1527" s="1" t="str">
        <f>""</f>
        <v/>
      </c>
      <c r="J1527" s="1" t="str">
        <f>""</f>
        <v/>
      </c>
      <c r="K1527" s="1" t="str">
        <f>""</f>
        <v/>
      </c>
      <c r="L1527" s="1" t="str">
        <f t="shared" si="464"/>
        <v>R</v>
      </c>
      <c r="M1527" s="1" t="str">
        <f>""</f>
        <v/>
      </c>
      <c r="N1527" s="1" t="str">
        <f t="shared" si="465"/>
        <v>Y</v>
      </c>
      <c r="O1527" s="1" t="str">
        <f t="shared" si="462"/>
        <v>Y</v>
      </c>
      <c r="P1527" s="1" t="str">
        <f t="shared" si="467"/>
        <v>Y</v>
      </c>
      <c r="Q1527" s="1" t="str">
        <f t="shared" si="463"/>
        <v>A</v>
      </c>
    </row>
    <row r="1528" spans="1:17" x14ac:dyDescent="0.3">
      <c r="A1528" s="1" t="str">
        <f t="shared" si="469"/>
        <v>JC</v>
      </c>
      <c r="B1528" s="1" t="str">
        <f>"ENDJC05"</f>
        <v>ENDJC05</v>
      </c>
      <c r="C1528" s="1" t="str">
        <f>"역류성위염"</f>
        <v>역류성위염</v>
      </c>
      <c r="D1528" s="1" t="s">
        <v>454</v>
      </c>
      <c r="E1528" s="1" t="str">
        <f>""</f>
        <v/>
      </c>
      <c r="F1528" s="1" t="str">
        <f>""</f>
        <v/>
      </c>
      <c r="G1528" s="1" t="str">
        <f>""</f>
        <v/>
      </c>
      <c r="H1528" s="1" t="str">
        <f>""</f>
        <v/>
      </c>
      <c r="I1528" s="1" t="str">
        <f>""</f>
        <v/>
      </c>
      <c r="J1528" s="1" t="str">
        <f>""</f>
        <v/>
      </c>
      <c r="K1528" s="1" t="str">
        <f>""</f>
        <v/>
      </c>
      <c r="L1528" s="1" t="str">
        <f t="shared" si="464"/>
        <v>R</v>
      </c>
      <c r="M1528" s="1" t="str">
        <f>""</f>
        <v/>
      </c>
      <c r="N1528" s="1" t="str">
        <f t="shared" si="465"/>
        <v>Y</v>
      </c>
      <c r="O1528" s="1" t="str">
        <f t="shared" si="462"/>
        <v>Y</v>
      </c>
      <c r="P1528" s="1" t="str">
        <f t="shared" si="467"/>
        <v>Y</v>
      </c>
      <c r="Q1528" s="1" t="str">
        <f t="shared" si="463"/>
        <v>A</v>
      </c>
    </row>
    <row r="1529" spans="1:17" x14ac:dyDescent="0.3">
      <c r="A1529" s="1" t="str">
        <f t="shared" si="469"/>
        <v>JC</v>
      </c>
      <c r="B1529" s="1" t="str">
        <f>"ENDJC06"</f>
        <v>ENDJC06</v>
      </c>
      <c r="C1529" s="1" t="str">
        <f>"십이지장궤양 흔적"</f>
        <v>십이지장궤양 흔적</v>
      </c>
      <c r="D1529" s="1" t="s">
        <v>455</v>
      </c>
      <c r="E1529" s="1" t="str">
        <f>""</f>
        <v/>
      </c>
      <c r="F1529" s="1" t="str">
        <f>""</f>
        <v/>
      </c>
      <c r="G1529" s="1" t="str">
        <f>""</f>
        <v/>
      </c>
      <c r="H1529" s="1" t="str">
        <f>""</f>
        <v/>
      </c>
      <c r="I1529" s="1" t="str">
        <f>""</f>
        <v/>
      </c>
      <c r="J1529" s="1" t="str">
        <f>""</f>
        <v/>
      </c>
      <c r="K1529" s="1" t="str">
        <f>""</f>
        <v/>
      </c>
      <c r="L1529" s="1" t="str">
        <f t="shared" si="464"/>
        <v>R</v>
      </c>
      <c r="M1529" s="1" t="str">
        <f>""</f>
        <v/>
      </c>
      <c r="N1529" s="1" t="str">
        <f t="shared" si="465"/>
        <v>Y</v>
      </c>
      <c r="O1529" s="1" t="str">
        <f t="shared" si="462"/>
        <v>Y</v>
      </c>
      <c r="P1529" s="1" t="str">
        <f t="shared" si="467"/>
        <v>Y</v>
      </c>
      <c r="Q1529" s="1" t="str">
        <f t="shared" si="463"/>
        <v>A</v>
      </c>
    </row>
    <row r="1530" spans="1:17" x14ac:dyDescent="0.3">
      <c r="A1530" s="1" t="str">
        <f t="shared" si="469"/>
        <v>JC</v>
      </c>
      <c r="B1530" s="1" t="str">
        <f>"ENDJC07"</f>
        <v>ENDJC07</v>
      </c>
      <c r="C1530" s="1" t="str">
        <f>"황색종"</f>
        <v>황색종</v>
      </c>
      <c r="D1530" s="1" t="s">
        <v>456</v>
      </c>
      <c r="E1530" s="1" t="str">
        <f>""</f>
        <v/>
      </c>
      <c r="F1530" s="1" t="str">
        <f>""</f>
        <v/>
      </c>
      <c r="G1530" s="1" t="str">
        <f>""</f>
        <v/>
      </c>
      <c r="H1530" s="1" t="str">
        <f>""</f>
        <v/>
      </c>
      <c r="I1530" s="1" t="str">
        <f>""</f>
        <v/>
      </c>
      <c r="J1530" s="1" t="str">
        <f>""</f>
        <v/>
      </c>
      <c r="K1530" s="1" t="str">
        <f>""</f>
        <v/>
      </c>
      <c r="L1530" s="1" t="str">
        <f t="shared" si="464"/>
        <v>R</v>
      </c>
      <c r="M1530" s="1" t="str">
        <f>""</f>
        <v/>
      </c>
      <c r="N1530" s="1" t="str">
        <f t="shared" si="465"/>
        <v>Y</v>
      </c>
      <c r="O1530" s="1" t="str">
        <f t="shared" ref="O1530:O1593" si="470">"Y"</f>
        <v>Y</v>
      </c>
      <c r="P1530" s="1" t="str">
        <f t="shared" si="467"/>
        <v>Y</v>
      </c>
      <c r="Q1530" s="1" t="str">
        <f t="shared" si="463"/>
        <v>A</v>
      </c>
    </row>
    <row r="1531" spans="1:17" x14ac:dyDescent="0.3">
      <c r="A1531" s="1" t="str">
        <f t="shared" si="469"/>
        <v>JC</v>
      </c>
      <c r="B1531" s="1" t="str">
        <f>"ENDJC08"</f>
        <v>ENDJC08</v>
      </c>
      <c r="C1531" s="1" t="str">
        <f>"기타이상"</f>
        <v>기타이상</v>
      </c>
      <c r="D1531" s="1" t="str">
        <f>"위 내시경 결과 기타 이상 소견이 발견됩니다. 경미한 증상일 수도 있으나 확진을 위하여 내원 상담하시기 바랍니다."</f>
        <v>위 내시경 결과 기타 이상 소견이 발견됩니다. 경미한 증상일 수도 있으나 확진을 위하여 내원 상담하시기 바랍니다.</v>
      </c>
      <c r="E1531" s="1" t="str">
        <f>""</f>
        <v/>
      </c>
      <c r="F1531" s="1" t="str">
        <f>""</f>
        <v/>
      </c>
      <c r="G1531" s="1" t="str">
        <f>""</f>
        <v/>
      </c>
      <c r="H1531" s="1" t="str">
        <f>""</f>
        <v/>
      </c>
      <c r="I1531" s="1" t="str">
        <f>""</f>
        <v/>
      </c>
      <c r="J1531" s="1" t="str">
        <f>""</f>
        <v/>
      </c>
      <c r="K1531" s="1" t="str">
        <f>""</f>
        <v/>
      </c>
      <c r="L1531" s="1" t="str">
        <f t="shared" si="464"/>
        <v>R</v>
      </c>
      <c r="M1531" s="1" t="str">
        <f>""</f>
        <v/>
      </c>
      <c r="N1531" s="1" t="str">
        <f t="shared" si="465"/>
        <v>Y</v>
      </c>
      <c r="O1531" s="1" t="str">
        <f t="shared" si="470"/>
        <v>Y</v>
      </c>
      <c r="P1531" s="1" t="str">
        <f t="shared" si="467"/>
        <v>Y</v>
      </c>
      <c r="Q1531" s="1" t="str">
        <f t="shared" si="463"/>
        <v>A</v>
      </c>
    </row>
    <row r="1532" spans="1:17" x14ac:dyDescent="0.3">
      <c r="A1532" s="1" t="str">
        <f t="shared" si="469"/>
        <v>JC</v>
      </c>
      <c r="B1532" s="1" t="str">
        <f>"ENDJC09"</f>
        <v>ENDJC09</v>
      </c>
      <c r="C1532" s="1" t="str">
        <f>"용종 절제필요"</f>
        <v>용종 절제필요</v>
      </c>
      <c r="D1532" s="1" t="str">
        <f>"위내시경 검사에서 용종(polyp)이 보입니다. 간혹 악성으로 변이될 위험이 있으므로 소화기내과를 방문하여 절제하시는 것이 좋겠습니다."</f>
        <v>위내시경 검사에서 용종(polyp)이 보입니다. 간혹 악성으로 변이될 위험이 있으므로 소화기내과를 방문하여 절제하시는 것이 좋겠습니다.</v>
      </c>
      <c r="E1532" s="1" t="str">
        <f>""</f>
        <v/>
      </c>
      <c r="F1532" s="1" t="str">
        <f>""</f>
        <v/>
      </c>
      <c r="G1532" s="1" t="str">
        <f>""</f>
        <v/>
      </c>
      <c r="H1532" s="1" t="str">
        <f>""</f>
        <v/>
      </c>
      <c r="I1532" s="1" t="str">
        <f>""</f>
        <v/>
      </c>
      <c r="J1532" s="1" t="str">
        <f>""</f>
        <v/>
      </c>
      <c r="K1532" s="1" t="str">
        <f>""</f>
        <v/>
      </c>
      <c r="L1532" s="1" t="str">
        <f t="shared" si="464"/>
        <v>R</v>
      </c>
      <c r="M1532" s="1" t="str">
        <f>""</f>
        <v/>
      </c>
      <c r="N1532" s="1" t="str">
        <f t="shared" si="465"/>
        <v>Y</v>
      </c>
      <c r="O1532" s="1" t="str">
        <f t="shared" si="470"/>
        <v>Y</v>
      </c>
      <c r="P1532" s="1" t="str">
        <f t="shared" si="467"/>
        <v>Y</v>
      </c>
      <c r="Q1532" s="1" t="str">
        <f t="shared" ref="Q1532:Q1595" si="471">"A"</f>
        <v>A</v>
      </c>
    </row>
    <row r="1533" spans="1:17" x14ac:dyDescent="0.3">
      <c r="A1533" s="1" t="str">
        <f t="shared" si="469"/>
        <v>JC</v>
      </c>
      <c r="B1533" s="1" t="str">
        <f>"ENDJC10"</f>
        <v>ENDJC10</v>
      </c>
      <c r="C1533" s="1" t="str">
        <f>"용종"</f>
        <v>용종</v>
      </c>
      <c r="D1533" s="1" t="str">
        <f>"위내시경검사에서 위의 용종 소견입니다. 위의 용종은 위에 생긴 혹을 말합니다. 간혹 악성으로 전이되는 경우가 있어 조직검사를 시행하였으나 암세포는 발견되지 않았습니다. 정기적인 내시경검사로 추적관찰하시기 바랍니다."</f>
        <v>위내시경검사에서 위의 용종 소견입니다. 위의 용종은 위에 생긴 혹을 말합니다. 간혹 악성으로 전이되는 경우가 있어 조직검사를 시행하였으나 암세포는 발견되지 않았습니다. 정기적인 내시경검사로 추적관찰하시기 바랍니다.</v>
      </c>
      <c r="E1533" s="1" t="str">
        <f>""</f>
        <v/>
      </c>
      <c r="F1533" s="1" t="str">
        <f>""</f>
        <v/>
      </c>
      <c r="G1533" s="1" t="str">
        <f>""</f>
        <v/>
      </c>
      <c r="H1533" s="1" t="str">
        <f>""</f>
        <v/>
      </c>
      <c r="I1533" s="1" t="str">
        <f>""</f>
        <v/>
      </c>
      <c r="J1533" s="1" t="str">
        <f>""</f>
        <v/>
      </c>
      <c r="K1533" s="1" t="str">
        <f>""</f>
        <v/>
      </c>
      <c r="L1533" s="1" t="str">
        <f t="shared" si="464"/>
        <v>R</v>
      </c>
      <c r="M1533" s="1" t="str">
        <f>""</f>
        <v/>
      </c>
      <c r="N1533" s="1" t="str">
        <f t="shared" si="465"/>
        <v>Y</v>
      </c>
      <c r="O1533" s="1" t="str">
        <f t="shared" si="470"/>
        <v>Y</v>
      </c>
      <c r="P1533" s="1" t="str">
        <f t="shared" si="467"/>
        <v>Y</v>
      </c>
      <c r="Q1533" s="1" t="str">
        <f t="shared" si="471"/>
        <v>A</v>
      </c>
    </row>
    <row r="1534" spans="1:17" x14ac:dyDescent="0.3">
      <c r="A1534" s="1" t="str">
        <f t="shared" si="469"/>
        <v>JC</v>
      </c>
      <c r="B1534" s="1" t="str">
        <f>"ENDJC11"</f>
        <v>ENDJC11</v>
      </c>
      <c r="C1534" s="1" t="str">
        <f>"표재성위염"</f>
        <v>표재성위염</v>
      </c>
      <c r="D1534" s="1" t="s">
        <v>457</v>
      </c>
      <c r="E1534" s="1" t="str">
        <f>""</f>
        <v/>
      </c>
      <c r="F1534" s="1" t="str">
        <f>""</f>
        <v/>
      </c>
      <c r="G1534" s="1" t="str">
        <f>""</f>
        <v/>
      </c>
      <c r="H1534" s="1" t="str">
        <f>""</f>
        <v/>
      </c>
      <c r="I1534" s="1" t="str">
        <f>""</f>
        <v/>
      </c>
      <c r="J1534" s="1" t="str">
        <f>""</f>
        <v/>
      </c>
      <c r="K1534" s="1" t="str">
        <f>""</f>
        <v/>
      </c>
      <c r="L1534" s="1" t="str">
        <f t="shared" si="464"/>
        <v>R</v>
      </c>
      <c r="M1534" s="1" t="str">
        <f>""</f>
        <v/>
      </c>
      <c r="N1534" s="1" t="str">
        <f t="shared" si="465"/>
        <v>Y</v>
      </c>
      <c r="O1534" s="1" t="str">
        <f t="shared" si="470"/>
        <v>Y</v>
      </c>
      <c r="P1534" s="1" t="str">
        <f t="shared" si="467"/>
        <v>Y</v>
      </c>
      <c r="Q1534" s="1" t="str">
        <f t="shared" si="471"/>
        <v>A</v>
      </c>
    </row>
    <row r="1535" spans="1:17" x14ac:dyDescent="0.3">
      <c r="A1535" s="1" t="str">
        <f t="shared" si="469"/>
        <v>JC</v>
      </c>
      <c r="B1535" s="1" t="str">
        <f>"ENDJC12"</f>
        <v>ENDJC12</v>
      </c>
      <c r="C1535" s="1" t="str">
        <f>"미란성위염"</f>
        <v>미란성위염</v>
      </c>
      <c r="D1535" s="1" t="s">
        <v>458</v>
      </c>
      <c r="E1535" s="1" t="str">
        <f>""</f>
        <v/>
      </c>
      <c r="F1535" s="1" t="str">
        <f>""</f>
        <v/>
      </c>
      <c r="G1535" s="1" t="str">
        <f>""</f>
        <v/>
      </c>
      <c r="H1535" s="1" t="str">
        <f>""</f>
        <v/>
      </c>
      <c r="I1535" s="1" t="str">
        <f>""</f>
        <v/>
      </c>
      <c r="J1535" s="1" t="str">
        <f>""</f>
        <v/>
      </c>
      <c r="K1535" s="1" t="str">
        <f>""</f>
        <v/>
      </c>
      <c r="L1535" s="1" t="str">
        <f t="shared" si="464"/>
        <v>R</v>
      </c>
      <c r="M1535" s="1" t="str">
        <f>""</f>
        <v/>
      </c>
      <c r="N1535" s="1" t="str">
        <f t="shared" si="465"/>
        <v>Y</v>
      </c>
      <c r="O1535" s="1" t="str">
        <f t="shared" si="470"/>
        <v>Y</v>
      </c>
      <c r="P1535" s="1" t="str">
        <f t="shared" si="467"/>
        <v>Y</v>
      </c>
      <c r="Q1535" s="1" t="str">
        <f t="shared" si="471"/>
        <v>A</v>
      </c>
    </row>
    <row r="1536" spans="1:17" x14ac:dyDescent="0.3">
      <c r="A1536" s="1" t="str">
        <f t="shared" si="469"/>
        <v>JC</v>
      </c>
      <c r="B1536" s="1" t="str">
        <f>"ENDJC13"</f>
        <v>ENDJC13</v>
      </c>
      <c r="C1536" s="1" t="str">
        <f>"위축성위염"</f>
        <v>위축성위염</v>
      </c>
      <c r="D1536" s="1" t="s">
        <v>459</v>
      </c>
      <c r="E1536" s="1" t="str">
        <f>""</f>
        <v/>
      </c>
      <c r="F1536" s="1" t="str">
        <f>""</f>
        <v/>
      </c>
      <c r="G1536" s="1" t="str">
        <f>""</f>
        <v/>
      </c>
      <c r="H1536" s="1" t="str">
        <f>""</f>
        <v/>
      </c>
      <c r="I1536" s="1" t="str">
        <f>""</f>
        <v/>
      </c>
      <c r="J1536" s="1" t="str">
        <f>""</f>
        <v/>
      </c>
      <c r="K1536" s="1" t="str">
        <f>""</f>
        <v/>
      </c>
      <c r="L1536" s="1" t="str">
        <f t="shared" si="464"/>
        <v>R</v>
      </c>
      <c r="M1536" s="1" t="str">
        <f>""</f>
        <v/>
      </c>
      <c r="N1536" s="1" t="str">
        <f t="shared" si="465"/>
        <v>Y</v>
      </c>
      <c r="O1536" s="1" t="str">
        <f t="shared" si="470"/>
        <v>Y</v>
      </c>
      <c r="P1536" s="1" t="str">
        <f t="shared" si="467"/>
        <v>Y</v>
      </c>
      <c r="Q1536" s="1" t="str">
        <f t="shared" si="471"/>
        <v>A</v>
      </c>
    </row>
    <row r="1537" spans="1:17" x14ac:dyDescent="0.3">
      <c r="A1537" s="1" t="str">
        <f t="shared" si="469"/>
        <v>JC</v>
      </c>
      <c r="B1537" s="1" t="str">
        <f>"ENDJC14"</f>
        <v>ENDJC14</v>
      </c>
      <c r="C1537" s="1" t="str">
        <f>"출혈성위염"</f>
        <v>출혈성위염</v>
      </c>
      <c r="D1537" s="1" t="s">
        <v>460</v>
      </c>
      <c r="E1537" s="1" t="str">
        <f>""</f>
        <v/>
      </c>
      <c r="F1537" s="1" t="str">
        <f>""</f>
        <v/>
      </c>
      <c r="G1537" s="1" t="str">
        <f>""</f>
        <v/>
      </c>
      <c r="H1537" s="1" t="str">
        <f>""</f>
        <v/>
      </c>
      <c r="I1537" s="1" t="str">
        <f>""</f>
        <v/>
      </c>
      <c r="J1537" s="1" t="str">
        <f>""</f>
        <v/>
      </c>
      <c r="K1537" s="1" t="str">
        <f>""</f>
        <v/>
      </c>
      <c r="L1537" s="1" t="str">
        <f t="shared" si="464"/>
        <v>R</v>
      </c>
      <c r="M1537" s="1" t="str">
        <f>""</f>
        <v/>
      </c>
      <c r="N1537" s="1" t="str">
        <f t="shared" si="465"/>
        <v>Y</v>
      </c>
      <c r="O1537" s="1" t="str">
        <f t="shared" si="470"/>
        <v>Y</v>
      </c>
      <c r="P1537" s="1" t="str">
        <f t="shared" si="467"/>
        <v>Y</v>
      </c>
      <c r="Q1537" s="1" t="str">
        <f t="shared" si="471"/>
        <v>A</v>
      </c>
    </row>
    <row r="1538" spans="1:17" x14ac:dyDescent="0.3">
      <c r="A1538" s="1" t="str">
        <f t="shared" si="469"/>
        <v>JC</v>
      </c>
      <c r="B1538" s="1" t="str">
        <f>"ENDJC15"</f>
        <v>ENDJC15</v>
      </c>
      <c r="C1538" s="1" t="str">
        <f>"장상피화생"</f>
        <v>장상피화생</v>
      </c>
      <c r="D1538" s="1" t="str">
        <f>"위내시경검사에서 장상피화생 소견입니다. 장상피화생은 위의 점막이 장점막 세포로 변형되는 경우를 말합니다. 변형된 세포가 일부 위암으로 변화할 가능성이 있으므로 6개월에서 1년 주기로 내시경 검사를 받는 것이 필요합니다."</f>
        <v>위내시경검사에서 장상피화생 소견입니다. 장상피화생은 위의 점막이 장점막 세포로 변형되는 경우를 말합니다. 변형된 세포가 일부 위암으로 변화할 가능성이 있으므로 6개월에서 1년 주기로 내시경 검사를 받는 것이 필요합니다.</v>
      </c>
      <c r="E1538" s="1" t="str">
        <f>""</f>
        <v/>
      </c>
      <c r="F1538" s="1" t="str">
        <f>""</f>
        <v/>
      </c>
      <c r="G1538" s="1" t="str">
        <f>""</f>
        <v/>
      </c>
      <c r="H1538" s="1" t="str">
        <f>""</f>
        <v/>
      </c>
      <c r="I1538" s="1" t="str">
        <f>""</f>
        <v/>
      </c>
      <c r="J1538" s="1" t="str">
        <f>""</f>
        <v/>
      </c>
      <c r="K1538" s="1" t="str">
        <f>""</f>
        <v/>
      </c>
      <c r="L1538" s="1" t="str">
        <f t="shared" si="464"/>
        <v>R</v>
      </c>
      <c r="M1538" s="1" t="str">
        <f>""</f>
        <v/>
      </c>
      <c r="N1538" s="1" t="str">
        <f t="shared" si="465"/>
        <v>Y</v>
      </c>
      <c r="O1538" s="1" t="str">
        <f t="shared" si="470"/>
        <v>Y</v>
      </c>
      <c r="P1538" s="1" t="str">
        <f t="shared" si="467"/>
        <v>Y</v>
      </c>
      <c r="Q1538" s="1" t="str">
        <f t="shared" si="471"/>
        <v>A</v>
      </c>
    </row>
    <row r="1539" spans="1:17" x14ac:dyDescent="0.3">
      <c r="A1539" s="1" t="str">
        <f t="shared" si="469"/>
        <v>JC</v>
      </c>
      <c r="B1539" s="1" t="str">
        <f>"ENDJC16"</f>
        <v>ENDJC16</v>
      </c>
      <c r="C1539" s="1" t="str">
        <f>"외부의 구조물"</f>
        <v>외부의 구조물</v>
      </c>
      <c r="D1539" s="1" t="str">
        <f>"위내시경검사에서 위 외부의 구조물에 의한 압박이 의심됩니다. 컴퓨터 단층촬영검사(CT)를 통해 외부압박의 원인을 밝히는 것이 좋겠습니다."</f>
        <v>위내시경검사에서 위 외부의 구조물에 의한 압박이 의심됩니다. 컴퓨터 단층촬영검사(CT)를 통해 외부압박의 원인을 밝히는 것이 좋겠습니다.</v>
      </c>
      <c r="E1539" s="1" t="str">
        <f>""</f>
        <v/>
      </c>
      <c r="F1539" s="1" t="str">
        <f>""</f>
        <v/>
      </c>
      <c r="G1539" s="1" t="str">
        <f>""</f>
        <v/>
      </c>
      <c r="H1539" s="1" t="str">
        <f>""</f>
        <v/>
      </c>
      <c r="I1539" s="1" t="str">
        <f>""</f>
        <v/>
      </c>
      <c r="J1539" s="1" t="str">
        <f>""</f>
        <v/>
      </c>
      <c r="K1539" s="1" t="str">
        <f>""</f>
        <v/>
      </c>
      <c r="L1539" s="1" t="str">
        <f t="shared" si="464"/>
        <v>R</v>
      </c>
      <c r="M1539" s="1" t="str">
        <f>""</f>
        <v/>
      </c>
      <c r="N1539" s="1" t="str">
        <f t="shared" si="465"/>
        <v>Y</v>
      </c>
      <c r="O1539" s="1" t="str">
        <f t="shared" si="470"/>
        <v>Y</v>
      </c>
      <c r="P1539" s="1" t="str">
        <f t="shared" si="467"/>
        <v>Y</v>
      </c>
      <c r="Q1539" s="1" t="str">
        <f t="shared" si="471"/>
        <v>A</v>
      </c>
    </row>
    <row r="1540" spans="1:17" x14ac:dyDescent="0.3">
      <c r="A1540" s="1" t="str">
        <f t="shared" si="469"/>
        <v>JC</v>
      </c>
      <c r="B1540" s="1" t="str">
        <f>"ENDJC17"</f>
        <v>ENDJC17</v>
      </c>
      <c r="C1540" s="1" t="str">
        <f>"위궤양"</f>
        <v>위궤양</v>
      </c>
      <c r="D1540" s="1" t="str">
        <f>"위내시경 검사에서 위궤양 소견이 보입니다. 치료를 위해 내원하시기 바랍니다."</f>
        <v>위내시경 검사에서 위궤양 소견이 보입니다. 치료를 위해 내원하시기 바랍니다.</v>
      </c>
      <c r="E1540" s="1" t="str">
        <f>""</f>
        <v/>
      </c>
      <c r="F1540" s="1" t="str">
        <f>""</f>
        <v/>
      </c>
      <c r="G1540" s="1" t="str">
        <f>""</f>
        <v/>
      </c>
      <c r="H1540" s="1" t="str">
        <f>""</f>
        <v/>
      </c>
      <c r="I1540" s="1" t="str">
        <f>""</f>
        <v/>
      </c>
      <c r="J1540" s="1" t="str">
        <f>""</f>
        <v/>
      </c>
      <c r="K1540" s="1" t="str">
        <f>""</f>
        <v/>
      </c>
      <c r="L1540" s="1" t="str">
        <f t="shared" si="464"/>
        <v>R</v>
      </c>
      <c r="M1540" s="1" t="str">
        <f>""</f>
        <v/>
      </c>
      <c r="N1540" s="1" t="str">
        <f t="shared" si="465"/>
        <v>Y</v>
      </c>
      <c r="O1540" s="1" t="str">
        <f t="shared" si="470"/>
        <v>Y</v>
      </c>
      <c r="P1540" s="1" t="str">
        <f t="shared" si="467"/>
        <v>Y</v>
      </c>
      <c r="Q1540" s="1" t="str">
        <f t="shared" si="471"/>
        <v>A</v>
      </c>
    </row>
    <row r="1541" spans="1:17" x14ac:dyDescent="0.3">
      <c r="A1541" s="1" t="str">
        <f t="shared" si="469"/>
        <v>JC</v>
      </c>
      <c r="B1541" s="1" t="str">
        <f>"ENDJC18"</f>
        <v>ENDJC18</v>
      </c>
      <c r="C1541" s="1" t="str">
        <f>"헬리코박터"</f>
        <v>헬리코박터</v>
      </c>
      <c r="D1541" s="1" t="str">
        <f>"헬리코박터(Helicobacter pylori) 검사 결과가 양성으로 나왔습니다. 위염과 궤양의 원인이 되는 병원체로 내원하여 치료받으시기 바랍니다."</f>
        <v>헬리코박터(Helicobacter pylori) 검사 결과가 양성으로 나왔습니다. 위염과 궤양의 원인이 되는 병원체로 내원하여 치료받으시기 바랍니다.</v>
      </c>
      <c r="E1541" s="1" t="str">
        <f>""</f>
        <v/>
      </c>
      <c r="F1541" s="1" t="str">
        <f>""</f>
        <v/>
      </c>
      <c r="G1541" s="1" t="str">
        <f>""</f>
        <v/>
      </c>
      <c r="H1541" s="1" t="str">
        <f>""</f>
        <v/>
      </c>
      <c r="I1541" s="1" t="str">
        <f>""</f>
        <v/>
      </c>
      <c r="J1541" s="1" t="str">
        <f>""</f>
        <v/>
      </c>
      <c r="K1541" s="1" t="str">
        <f>""</f>
        <v/>
      </c>
      <c r="L1541" s="1" t="str">
        <f t="shared" ref="L1541:L1604" si="472">"R"</f>
        <v>R</v>
      </c>
      <c r="M1541" s="1" t="str">
        <f>""</f>
        <v/>
      </c>
      <c r="N1541" s="1" t="str">
        <f t="shared" ref="N1541:N1604" si="473">"Y"</f>
        <v>Y</v>
      </c>
      <c r="O1541" s="1" t="str">
        <f t="shared" si="470"/>
        <v>Y</v>
      </c>
      <c r="P1541" s="1" t="str">
        <f t="shared" si="467"/>
        <v>Y</v>
      </c>
      <c r="Q1541" s="1" t="str">
        <f t="shared" si="471"/>
        <v>A</v>
      </c>
    </row>
    <row r="1542" spans="1:17" x14ac:dyDescent="0.3">
      <c r="A1542" s="1" t="str">
        <f t="shared" si="469"/>
        <v>JC</v>
      </c>
      <c r="B1542" s="1" t="str">
        <f>"ENDJC19"</f>
        <v>ENDJC19</v>
      </c>
      <c r="C1542" s="1" t="str">
        <f>"십이지장궤양"</f>
        <v>십이지장궤양</v>
      </c>
      <c r="D1542" s="1" t="str">
        <f>"위내시경 검사에서 십이지장궤양 소견이 있습니다. 치료를 위해 내원하시기 바랍니다."</f>
        <v>위내시경 검사에서 십이지장궤양 소견이 있습니다. 치료를 위해 내원하시기 바랍니다.</v>
      </c>
      <c r="E1542" s="1" t="str">
        <f>""</f>
        <v/>
      </c>
      <c r="F1542" s="1" t="str">
        <f>""</f>
        <v/>
      </c>
      <c r="G1542" s="1" t="str">
        <f>""</f>
        <v/>
      </c>
      <c r="H1542" s="1" t="str">
        <f>""</f>
        <v/>
      </c>
      <c r="I1542" s="1" t="str">
        <f>""</f>
        <v/>
      </c>
      <c r="J1542" s="1" t="str">
        <f>""</f>
        <v/>
      </c>
      <c r="K1542" s="1" t="str">
        <f>""</f>
        <v/>
      </c>
      <c r="L1542" s="1" t="str">
        <f t="shared" si="472"/>
        <v>R</v>
      </c>
      <c r="M1542" s="1" t="str">
        <f>""</f>
        <v/>
      </c>
      <c r="N1542" s="1" t="str">
        <f t="shared" si="473"/>
        <v>Y</v>
      </c>
      <c r="O1542" s="1" t="str">
        <f t="shared" si="470"/>
        <v>Y</v>
      </c>
      <c r="P1542" s="1" t="str">
        <f t="shared" si="467"/>
        <v>Y</v>
      </c>
      <c r="Q1542" s="1" t="str">
        <f t="shared" si="471"/>
        <v>A</v>
      </c>
    </row>
    <row r="1543" spans="1:17" x14ac:dyDescent="0.3">
      <c r="A1543" s="1" t="str">
        <f t="shared" si="469"/>
        <v>JC</v>
      </c>
      <c r="B1543" s="1" t="str">
        <f>"ENDJC20"</f>
        <v>ENDJC20</v>
      </c>
      <c r="C1543" s="1" t="str">
        <f>"십이지장염"</f>
        <v>십이지장염</v>
      </c>
      <c r="D1543" s="1" t="str">
        <f>"위내시경 검사에서 십이지장염 소견이 보입니다. 치료와 함께 식이요법을 권합니다."</f>
        <v>위내시경 검사에서 십이지장염 소견이 보입니다. 치료와 함께 식이요법을 권합니다.</v>
      </c>
      <c r="E1543" s="1" t="str">
        <f>""</f>
        <v/>
      </c>
      <c r="F1543" s="1" t="str">
        <f>""</f>
        <v/>
      </c>
      <c r="G1543" s="1" t="str">
        <f>""</f>
        <v/>
      </c>
      <c r="H1543" s="1" t="str">
        <f>""</f>
        <v/>
      </c>
      <c r="I1543" s="1" t="str">
        <f>""</f>
        <v/>
      </c>
      <c r="J1543" s="1" t="str">
        <f>""</f>
        <v/>
      </c>
      <c r="K1543" s="1" t="str">
        <f>""</f>
        <v/>
      </c>
      <c r="L1543" s="1" t="str">
        <f t="shared" si="472"/>
        <v>R</v>
      </c>
      <c r="M1543" s="1" t="str">
        <f>""</f>
        <v/>
      </c>
      <c r="N1543" s="1" t="str">
        <f t="shared" si="473"/>
        <v>Y</v>
      </c>
      <c r="O1543" s="1" t="str">
        <f t="shared" si="470"/>
        <v>Y</v>
      </c>
      <c r="P1543" s="1" t="str">
        <f t="shared" si="467"/>
        <v>Y</v>
      </c>
      <c r="Q1543" s="1" t="str">
        <f t="shared" si="471"/>
        <v>A</v>
      </c>
    </row>
    <row r="1544" spans="1:17" x14ac:dyDescent="0.3">
      <c r="A1544" s="1" t="str">
        <f t="shared" si="469"/>
        <v>JC</v>
      </c>
      <c r="B1544" s="1" t="str">
        <f>"ENDJC21"</f>
        <v>ENDJC21</v>
      </c>
      <c r="C1544" s="1" t="str">
        <f>"십이지장게실"</f>
        <v>십이지장게실</v>
      </c>
      <c r="D1544" s="1" t="s">
        <v>461</v>
      </c>
      <c r="E1544" s="1" t="str">
        <f>""</f>
        <v/>
      </c>
      <c r="F1544" s="1" t="str">
        <f>""</f>
        <v/>
      </c>
      <c r="G1544" s="1" t="str">
        <f>""</f>
        <v/>
      </c>
      <c r="H1544" s="1" t="str">
        <f>""</f>
        <v/>
      </c>
      <c r="I1544" s="1" t="str">
        <f>""</f>
        <v/>
      </c>
      <c r="J1544" s="1" t="str">
        <f>""</f>
        <v/>
      </c>
      <c r="K1544" s="1" t="str">
        <f>""</f>
        <v/>
      </c>
      <c r="L1544" s="1" t="str">
        <f t="shared" si="472"/>
        <v>R</v>
      </c>
      <c r="M1544" s="1" t="str">
        <f>""</f>
        <v/>
      </c>
      <c r="N1544" s="1" t="str">
        <f t="shared" si="473"/>
        <v>Y</v>
      </c>
      <c r="O1544" s="1" t="str">
        <f t="shared" si="470"/>
        <v>Y</v>
      </c>
      <c r="P1544" s="1" t="str">
        <f t="shared" si="467"/>
        <v>Y</v>
      </c>
      <c r="Q1544" s="1" t="str">
        <f t="shared" si="471"/>
        <v>A</v>
      </c>
    </row>
    <row r="1545" spans="1:17" x14ac:dyDescent="0.3">
      <c r="A1545" s="1" t="str">
        <f t="shared" si="469"/>
        <v>JC</v>
      </c>
      <c r="B1545" s="1" t="str">
        <f>"ENDJC22"</f>
        <v>ENDJC22</v>
      </c>
      <c r="C1545" s="1" t="str">
        <f>"만성위염"</f>
        <v>만성위염</v>
      </c>
      <c r="D1545" s="1" t="s">
        <v>462</v>
      </c>
      <c r="E1545" s="1" t="str">
        <f>""</f>
        <v/>
      </c>
      <c r="F1545" s="1" t="str">
        <f>""</f>
        <v/>
      </c>
      <c r="G1545" s="1" t="str">
        <f>""</f>
        <v/>
      </c>
      <c r="H1545" s="1" t="str">
        <f>""</f>
        <v/>
      </c>
      <c r="I1545" s="1" t="str">
        <f>""</f>
        <v/>
      </c>
      <c r="J1545" s="1" t="str">
        <f>""</f>
        <v/>
      </c>
      <c r="K1545" s="1" t="str">
        <f>""</f>
        <v/>
      </c>
      <c r="L1545" s="1" t="str">
        <f t="shared" si="472"/>
        <v>R</v>
      </c>
      <c r="M1545" s="1" t="str">
        <f>""</f>
        <v/>
      </c>
      <c r="N1545" s="1" t="str">
        <f t="shared" si="473"/>
        <v>Y</v>
      </c>
      <c r="O1545" s="1" t="str">
        <f t="shared" si="470"/>
        <v>Y</v>
      </c>
      <c r="P1545" s="1" t="str">
        <f t="shared" si="467"/>
        <v>Y</v>
      </c>
      <c r="Q1545" s="1" t="str">
        <f t="shared" si="471"/>
        <v>A</v>
      </c>
    </row>
    <row r="1546" spans="1:17" x14ac:dyDescent="0.3">
      <c r="A1546" s="1" t="str">
        <f t="shared" si="469"/>
        <v>JC</v>
      </c>
      <c r="B1546" s="1" t="str">
        <f>"ENDJC23"</f>
        <v>ENDJC23</v>
      </c>
      <c r="C1546" s="1" t="str">
        <f>"장상피화생"</f>
        <v>장상피화생</v>
      </c>
      <c r="D1546" s="1" t="str">
        <f>"위내시경조직검사에서 장상피화생 소견입니다. 장상피화생은 위의 점막이 장점막 세포로 변형되는 경우를 말합니다. 변형된 세포가 일부 위암으로 변화할 가능성이 있으므로 6개월에서 1년 주기로 내시경 검사를 받는 것이 필요합니다."</f>
        <v>위내시경조직검사에서 장상피화생 소견입니다. 장상피화생은 위의 점막이 장점막 세포로 변형되는 경우를 말합니다. 변형된 세포가 일부 위암으로 변화할 가능성이 있으므로 6개월에서 1년 주기로 내시경 검사를 받는 것이 필요합니다.</v>
      </c>
      <c r="E1546" s="1" t="str">
        <f>""</f>
        <v/>
      </c>
      <c r="F1546" s="1" t="str">
        <f>""</f>
        <v/>
      </c>
      <c r="G1546" s="1" t="str">
        <f>""</f>
        <v/>
      </c>
      <c r="H1546" s="1" t="str">
        <f>""</f>
        <v/>
      </c>
      <c r="I1546" s="1" t="str">
        <f>""</f>
        <v/>
      </c>
      <c r="J1546" s="1" t="str">
        <f>""</f>
        <v/>
      </c>
      <c r="K1546" s="1" t="str">
        <f>""</f>
        <v/>
      </c>
      <c r="L1546" s="1" t="str">
        <f t="shared" si="472"/>
        <v>R</v>
      </c>
      <c r="M1546" s="1" t="str">
        <f>""</f>
        <v/>
      </c>
      <c r="N1546" s="1" t="str">
        <f t="shared" si="473"/>
        <v>Y</v>
      </c>
      <c r="O1546" s="1" t="str">
        <f t="shared" si="470"/>
        <v>Y</v>
      </c>
      <c r="P1546" s="1" t="str">
        <f t="shared" ref="P1546:P1609" si="474">"Y"</f>
        <v>Y</v>
      </c>
      <c r="Q1546" s="1" t="str">
        <f t="shared" si="471"/>
        <v>A</v>
      </c>
    </row>
    <row r="1547" spans="1:17" x14ac:dyDescent="0.3">
      <c r="A1547" s="1" t="str">
        <f t="shared" si="469"/>
        <v>JC</v>
      </c>
      <c r="B1547" s="1" t="str">
        <f>"ENDJC24"</f>
        <v>ENDJC24</v>
      </c>
      <c r="C1547" s="1" t="str">
        <f>"황색종"</f>
        <v>황색종</v>
      </c>
      <c r="D1547" s="1" t="s">
        <v>463</v>
      </c>
      <c r="E1547" s="1" t="str">
        <f>""</f>
        <v/>
      </c>
      <c r="F1547" s="1" t="str">
        <f>""</f>
        <v/>
      </c>
      <c r="G1547" s="1" t="str">
        <f>""</f>
        <v/>
      </c>
      <c r="H1547" s="1" t="str">
        <f>""</f>
        <v/>
      </c>
      <c r="I1547" s="1" t="str">
        <f>""</f>
        <v/>
      </c>
      <c r="J1547" s="1" t="str">
        <f>""</f>
        <v/>
      </c>
      <c r="K1547" s="1" t="str">
        <f>""</f>
        <v/>
      </c>
      <c r="L1547" s="1" t="str">
        <f t="shared" si="472"/>
        <v>R</v>
      </c>
      <c r="M1547" s="1" t="str">
        <f>""</f>
        <v/>
      </c>
      <c r="N1547" s="1" t="str">
        <f t="shared" si="473"/>
        <v>Y</v>
      </c>
      <c r="O1547" s="1" t="str">
        <f t="shared" si="470"/>
        <v>Y</v>
      </c>
      <c r="P1547" s="1" t="str">
        <f t="shared" si="474"/>
        <v>Y</v>
      </c>
      <c r="Q1547" s="1" t="str">
        <f t="shared" si="471"/>
        <v>A</v>
      </c>
    </row>
    <row r="1548" spans="1:17" x14ac:dyDescent="0.3">
      <c r="A1548" s="1" t="str">
        <f t="shared" si="469"/>
        <v>JC</v>
      </c>
      <c r="B1548" s="1" t="str">
        <f>"ENDJC25"</f>
        <v>ENDJC25</v>
      </c>
      <c r="C1548" s="1" t="str">
        <f>"위궤양"</f>
        <v>위궤양</v>
      </c>
      <c r="D1548" s="1" t="str">
        <f>"위내시경 조직검사에서 위궤양 소견이 보입니다. 치료를 위해 내원하시기 바랍니다."</f>
        <v>위내시경 조직검사에서 위궤양 소견이 보입니다. 치료를 위해 내원하시기 바랍니다.</v>
      </c>
      <c r="E1548" s="1" t="str">
        <f>""</f>
        <v/>
      </c>
      <c r="F1548" s="1" t="str">
        <f>""</f>
        <v/>
      </c>
      <c r="G1548" s="1" t="str">
        <f>""</f>
        <v/>
      </c>
      <c r="H1548" s="1" t="str">
        <f>""</f>
        <v/>
      </c>
      <c r="I1548" s="1" t="str">
        <f>""</f>
        <v/>
      </c>
      <c r="J1548" s="1" t="str">
        <f>""</f>
        <v/>
      </c>
      <c r="K1548" s="1" t="str">
        <f>""</f>
        <v/>
      </c>
      <c r="L1548" s="1" t="str">
        <f t="shared" si="472"/>
        <v>R</v>
      </c>
      <c r="M1548" s="1" t="str">
        <f>""</f>
        <v/>
      </c>
      <c r="N1548" s="1" t="str">
        <f t="shared" si="473"/>
        <v>Y</v>
      </c>
      <c r="O1548" s="1" t="str">
        <f t="shared" si="470"/>
        <v>Y</v>
      </c>
      <c r="P1548" s="1" t="str">
        <f t="shared" si="474"/>
        <v>Y</v>
      </c>
      <c r="Q1548" s="1" t="str">
        <f t="shared" si="471"/>
        <v>A</v>
      </c>
    </row>
    <row r="1549" spans="1:17" x14ac:dyDescent="0.3">
      <c r="A1549" s="1" t="str">
        <f t="shared" si="469"/>
        <v>JC</v>
      </c>
      <c r="B1549" s="1" t="str">
        <f>"ENDJC26"</f>
        <v>ENDJC26</v>
      </c>
      <c r="C1549" s="1" t="str">
        <f>"십이지장염"</f>
        <v>십이지장염</v>
      </c>
      <c r="D1549" s="1" t="str">
        <f>"위내시경 조직검사에서 십이지장염 소견이 보입니다. 치료와 함께 식이요법을 권합니다. 내원하시어 상담받으시기 바랍니다."</f>
        <v>위내시경 조직검사에서 십이지장염 소견이 보입니다. 치료와 함께 식이요법을 권합니다. 내원하시어 상담받으시기 바랍니다.</v>
      </c>
      <c r="E1549" s="1" t="str">
        <f>""</f>
        <v/>
      </c>
      <c r="F1549" s="1" t="str">
        <f>""</f>
        <v/>
      </c>
      <c r="G1549" s="1" t="str">
        <f>""</f>
        <v/>
      </c>
      <c r="H1549" s="1" t="str">
        <f>""</f>
        <v/>
      </c>
      <c r="I1549" s="1" t="str">
        <f>""</f>
        <v/>
      </c>
      <c r="J1549" s="1" t="str">
        <f>""</f>
        <v/>
      </c>
      <c r="K1549" s="1" t="str">
        <f>""</f>
        <v/>
      </c>
      <c r="L1549" s="1" t="str">
        <f t="shared" si="472"/>
        <v>R</v>
      </c>
      <c r="M1549" s="1" t="str">
        <f>""</f>
        <v/>
      </c>
      <c r="N1549" s="1" t="str">
        <f t="shared" si="473"/>
        <v>Y</v>
      </c>
      <c r="O1549" s="1" t="str">
        <f t="shared" si="470"/>
        <v>Y</v>
      </c>
      <c r="P1549" s="1" t="str">
        <f t="shared" si="474"/>
        <v>Y</v>
      </c>
      <c r="Q1549" s="1" t="str">
        <f t="shared" si="471"/>
        <v>A</v>
      </c>
    </row>
    <row r="1550" spans="1:17" x14ac:dyDescent="0.3">
      <c r="A1550" s="1" t="str">
        <f t="shared" si="469"/>
        <v>JC</v>
      </c>
      <c r="B1550" s="1" t="str">
        <f>"ENDJC27"</f>
        <v>ENDJC27</v>
      </c>
      <c r="C1550" s="1" t="str">
        <f>"십이지장궤양"</f>
        <v>십이지장궤양</v>
      </c>
      <c r="D1550" s="1" t="s">
        <v>464</v>
      </c>
      <c r="E1550" s="1" t="str">
        <f>""</f>
        <v/>
      </c>
      <c r="F1550" s="1" t="str">
        <f>""</f>
        <v/>
      </c>
      <c r="G1550" s="1" t="str">
        <f>""</f>
        <v/>
      </c>
      <c r="H1550" s="1" t="str">
        <f>""</f>
        <v/>
      </c>
      <c r="I1550" s="1" t="str">
        <f>""</f>
        <v/>
      </c>
      <c r="J1550" s="1" t="str">
        <f>""</f>
        <v/>
      </c>
      <c r="K1550" s="1" t="str">
        <f>""</f>
        <v/>
      </c>
      <c r="L1550" s="1" t="str">
        <f t="shared" si="472"/>
        <v>R</v>
      </c>
      <c r="M1550" s="1" t="str">
        <f>""</f>
        <v/>
      </c>
      <c r="N1550" s="1" t="str">
        <f t="shared" si="473"/>
        <v>Y</v>
      </c>
      <c r="O1550" s="1" t="str">
        <f t="shared" si="470"/>
        <v>Y</v>
      </c>
      <c r="P1550" s="1" t="str">
        <f t="shared" si="474"/>
        <v>Y</v>
      </c>
      <c r="Q1550" s="1" t="str">
        <f t="shared" si="471"/>
        <v>A</v>
      </c>
    </row>
    <row r="1551" spans="1:17" x14ac:dyDescent="0.3">
      <c r="A1551" s="1" t="str">
        <f t="shared" si="469"/>
        <v>JC</v>
      </c>
      <c r="B1551" s="1" t="str">
        <f>"EOSJC01"</f>
        <v>EOSJC01</v>
      </c>
      <c r="C1551" s="1" t="str">
        <f>"호산구 증가"</f>
        <v>호산구 증가</v>
      </c>
      <c r="D1551" s="1" t="s">
        <v>465</v>
      </c>
      <c r="E1551" s="1" t="str">
        <f>""</f>
        <v/>
      </c>
      <c r="F1551" s="1" t="str">
        <f>""</f>
        <v/>
      </c>
      <c r="G1551" s="1" t="str">
        <f>""</f>
        <v/>
      </c>
      <c r="H1551" s="1" t="str">
        <f>""</f>
        <v/>
      </c>
      <c r="I1551" s="1" t="str">
        <f>""</f>
        <v/>
      </c>
      <c r="J1551" s="1" t="str">
        <f>""</f>
        <v/>
      </c>
      <c r="K1551" s="1" t="str">
        <f>""</f>
        <v/>
      </c>
      <c r="L1551" s="1" t="str">
        <f t="shared" si="472"/>
        <v>R</v>
      </c>
      <c r="M1551" s="1" t="str">
        <f>""</f>
        <v/>
      </c>
      <c r="N1551" s="1" t="str">
        <f t="shared" si="473"/>
        <v>Y</v>
      </c>
      <c r="O1551" s="1" t="str">
        <f t="shared" si="470"/>
        <v>Y</v>
      </c>
      <c r="P1551" s="1" t="str">
        <f t="shared" si="474"/>
        <v>Y</v>
      </c>
      <c r="Q1551" s="1" t="str">
        <f t="shared" si="471"/>
        <v>A</v>
      </c>
    </row>
    <row r="1552" spans="1:17" x14ac:dyDescent="0.3">
      <c r="A1552" s="1" t="str">
        <f t="shared" si="469"/>
        <v>JC</v>
      </c>
      <c r="B1552" s="1" t="str">
        <f>"ESRJC01"</f>
        <v>ESRJC01</v>
      </c>
      <c r="C1552" s="1" t="str">
        <f>"적혈구 침강속도 증가"</f>
        <v>적혈구 침강속도 증가</v>
      </c>
      <c r="D1552" s="1" t="str">
        <f>"혈액검사상 적혈구 침강속도가 증가하였습니다. 적혈구 침강속도는 적혈구가 가라앉는 속도를 말하며 주로 염증성 질환시 증가하지만 일시적으로 증가할 수도 있습니다.  1개월 후에 재검사로 확인하시기 바랍니다."</f>
        <v>혈액검사상 적혈구 침강속도가 증가하였습니다. 적혈구 침강속도는 적혈구가 가라앉는 속도를 말하며 주로 염증성 질환시 증가하지만 일시적으로 증가할 수도 있습니다.  1개월 후에 재검사로 확인하시기 바랍니다.</v>
      </c>
      <c r="E1552" s="1" t="str">
        <f>""</f>
        <v/>
      </c>
      <c r="F1552" s="1" t="str">
        <f>""</f>
        <v/>
      </c>
      <c r="G1552" s="1" t="str">
        <f>""</f>
        <v/>
      </c>
      <c r="H1552" s="1" t="str">
        <f>""</f>
        <v/>
      </c>
      <c r="I1552" s="1" t="str">
        <f>""</f>
        <v/>
      </c>
      <c r="J1552" s="1" t="str">
        <f>""</f>
        <v/>
      </c>
      <c r="K1552" s="1" t="str">
        <f>""</f>
        <v/>
      </c>
      <c r="L1552" s="1" t="str">
        <f t="shared" si="472"/>
        <v>R</v>
      </c>
      <c r="M1552" s="1" t="str">
        <f>""</f>
        <v/>
      </c>
      <c r="N1552" s="1" t="str">
        <f t="shared" si="473"/>
        <v>Y</v>
      </c>
      <c r="O1552" s="1" t="str">
        <f t="shared" si="470"/>
        <v>Y</v>
      </c>
      <c r="P1552" s="1" t="str">
        <f t="shared" si="474"/>
        <v>Y</v>
      </c>
      <c r="Q1552" s="1" t="str">
        <f t="shared" si="471"/>
        <v>A</v>
      </c>
    </row>
    <row r="1553" spans="1:17" x14ac:dyDescent="0.3">
      <c r="A1553" s="1" t="str">
        <f t="shared" si="469"/>
        <v>JC</v>
      </c>
      <c r="B1553" s="1" t="str">
        <f>"FSHJC01"</f>
        <v>FSHJC01</v>
      </c>
      <c r="C1553" s="1" t="str">
        <f>"FSH 상승"</f>
        <v>FSH 상승</v>
      </c>
      <c r="D1553" s="1" t="s">
        <v>315</v>
      </c>
      <c r="E1553" s="1" t="str">
        <f>""</f>
        <v/>
      </c>
      <c r="F1553" s="1" t="str">
        <f>""</f>
        <v/>
      </c>
      <c r="G1553" s="1" t="str">
        <f>""</f>
        <v/>
      </c>
      <c r="H1553" s="1" t="str">
        <f>""</f>
        <v/>
      </c>
      <c r="I1553" s="1" t="str">
        <f>""</f>
        <v/>
      </c>
      <c r="J1553" s="1" t="str">
        <f>""</f>
        <v/>
      </c>
      <c r="K1553" s="1" t="str">
        <f>""</f>
        <v/>
      </c>
      <c r="L1553" s="1" t="str">
        <f t="shared" si="472"/>
        <v>R</v>
      </c>
      <c r="M1553" s="1" t="str">
        <f>""</f>
        <v/>
      </c>
      <c r="N1553" s="1" t="str">
        <f t="shared" si="473"/>
        <v>Y</v>
      </c>
      <c r="O1553" s="1" t="str">
        <f t="shared" si="470"/>
        <v>Y</v>
      </c>
      <c r="P1553" s="1" t="str">
        <f t="shared" si="474"/>
        <v>Y</v>
      </c>
      <c r="Q1553" s="1" t="str">
        <f t="shared" si="471"/>
        <v>A</v>
      </c>
    </row>
    <row r="1554" spans="1:17" x14ac:dyDescent="0.3">
      <c r="A1554" s="1" t="str">
        <f t="shared" si="469"/>
        <v>JC</v>
      </c>
      <c r="B1554" s="1" t="str">
        <f>"GAMJC01"</f>
        <v>GAMJC01</v>
      </c>
      <c r="C1554" s="1" t="str">
        <f>"간질환의심"</f>
        <v>간질환의심</v>
      </c>
      <c r="D1554" s="1" t="str">
        <f>"간기능검사에서 혈액내 감마 지티피(r-GTP)가 증가하였습니다. 음주를 많이하는 경우 지나친 음주를 삼가하시고 원인에 따른 치료를 위해 내원하셔서 상담하시기 바랍니다."</f>
        <v>간기능검사에서 혈액내 감마 지티피(r-GTP)가 증가하였습니다. 음주를 많이하는 경우 지나친 음주를 삼가하시고 원인에 따른 치료를 위해 내원하셔서 상담하시기 바랍니다.</v>
      </c>
      <c r="E1554" s="1" t="str">
        <f>"WOK02"</f>
        <v>WOK02</v>
      </c>
      <c r="F1554" s="1" t="str">
        <f>""</f>
        <v/>
      </c>
      <c r="G1554" s="1" t="str">
        <f>"DISK"</f>
        <v>DISK</v>
      </c>
      <c r="H1554" s="1" t="str">
        <f>"REL05"</f>
        <v>REL05</v>
      </c>
      <c r="I1554" s="1" t="str">
        <f>""</f>
        <v/>
      </c>
      <c r="J1554" s="1" t="str">
        <f>""</f>
        <v/>
      </c>
      <c r="K1554" s="1" t="str">
        <f>""</f>
        <v/>
      </c>
      <c r="L1554" s="1" t="str">
        <f t="shared" si="472"/>
        <v>R</v>
      </c>
      <c r="M1554" s="1" t="str">
        <f>"T02"</f>
        <v>T02</v>
      </c>
      <c r="N1554" s="1" t="str">
        <f t="shared" si="473"/>
        <v>Y</v>
      </c>
      <c r="O1554" s="1" t="str">
        <f t="shared" si="470"/>
        <v>Y</v>
      </c>
      <c r="P1554" s="1" t="str">
        <f t="shared" si="474"/>
        <v>Y</v>
      </c>
      <c r="Q1554" s="1" t="str">
        <f t="shared" si="471"/>
        <v>A</v>
      </c>
    </row>
    <row r="1555" spans="1:17" x14ac:dyDescent="0.3">
      <c r="A1555" s="1" t="str">
        <f t="shared" si="469"/>
        <v>JC</v>
      </c>
      <c r="B1555" s="1" t="str">
        <f>"HBGJC01"</f>
        <v>HBGJC01</v>
      </c>
      <c r="C1555" s="1" t="str">
        <f>"B형간염보균"</f>
        <v>B형간염보균</v>
      </c>
      <c r="D1555" s="1" t="str">
        <f>"B형 간염 검사에서 항원이 경미하게 양성 소견이 보입니다. B형 간염 보균 상태가 추정되오니 건강주의하시고 1개월 후 외래로 내원하시어 확인검사하시기 바랍니다."</f>
        <v>B형 간염 검사에서 항원이 경미하게 양성 소견이 보입니다. B형 간염 보균 상태가 추정되오니 건강주의하시고 1개월 후 외래로 내원하시어 확인검사하시기 바랍니다.</v>
      </c>
      <c r="E1555" s="1" t="str">
        <f>""</f>
        <v/>
      </c>
      <c r="F1555" s="1" t="str">
        <f>""</f>
        <v/>
      </c>
      <c r="G1555" s="1" t="str">
        <f>""</f>
        <v/>
      </c>
      <c r="H1555" s="1" t="str">
        <f>""</f>
        <v/>
      </c>
      <c r="I1555" s="1" t="str">
        <f>""</f>
        <v/>
      </c>
      <c r="J1555" s="1" t="str">
        <f>""</f>
        <v/>
      </c>
      <c r="K1555" s="1" t="str">
        <f>""</f>
        <v/>
      </c>
      <c r="L1555" s="1" t="str">
        <f t="shared" si="472"/>
        <v>R</v>
      </c>
      <c r="M1555" s="1" t="str">
        <f>""</f>
        <v/>
      </c>
      <c r="N1555" s="1" t="str">
        <f t="shared" si="473"/>
        <v>Y</v>
      </c>
      <c r="O1555" s="1" t="str">
        <f t="shared" si="470"/>
        <v>Y</v>
      </c>
      <c r="P1555" s="1" t="str">
        <f t="shared" si="474"/>
        <v>Y</v>
      </c>
      <c r="Q1555" s="1" t="str">
        <f t="shared" si="471"/>
        <v>A</v>
      </c>
    </row>
    <row r="1556" spans="1:17" x14ac:dyDescent="0.3">
      <c r="A1556" s="1" t="str">
        <f t="shared" si="469"/>
        <v>JC</v>
      </c>
      <c r="B1556" s="1" t="str">
        <f>"HCBJC01"</f>
        <v>HCBJC01</v>
      </c>
      <c r="C1556" s="1" t="str">
        <f>"C형간염 의심"</f>
        <v>C형간염 의심</v>
      </c>
      <c r="D1556" s="1" t="str">
        <f>"C형 간염검사에서 양성으로 나와 C형 간염이 의심됩니다. 내원하여 상담 바랍니다."</f>
        <v>C형 간염검사에서 양성으로 나와 C형 간염이 의심됩니다. 내원하여 상담 바랍니다.</v>
      </c>
      <c r="E1556" s="1" t="str">
        <f>""</f>
        <v/>
      </c>
      <c r="F1556" s="1" t="str">
        <f>""</f>
        <v/>
      </c>
      <c r="G1556" s="1" t="str">
        <f>""</f>
        <v/>
      </c>
      <c r="H1556" s="1" t="str">
        <f>""</f>
        <v/>
      </c>
      <c r="I1556" s="1" t="str">
        <f>""</f>
        <v/>
      </c>
      <c r="J1556" s="1" t="str">
        <f>""</f>
        <v/>
      </c>
      <c r="K1556" s="1" t="str">
        <f>""</f>
        <v/>
      </c>
      <c r="L1556" s="1" t="str">
        <f t="shared" si="472"/>
        <v>R</v>
      </c>
      <c r="M1556" s="1" t="str">
        <f>""</f>
        <v/>
      </c>
      <c r="N1556" s="1" t="str">
        <f t="shared" si="473"/>
        <v>Y</v>
      </c>
      <c r="O1556" s="1" t="str">
        <f t="shared" si="470"/>
        <v>Y</v>
      </c>
      <c r="P1556" s="1" t="str">
        <f t="shared" si="474"/>
        <v>Y</v>
      </c>
      <c r="Q1556" s="1" t="str">
        <f t="shared" si="471"/>
        <v>A</v>
      </c>
    </row>
    <row r="1557" spans="1:17" x14ac:dyDescent="0.3">
      <c r="A1557" s="1" t="str">
        <f t="shared" ref="A1557:A1588" si="475">"JC"</f>
        <v>JC</v>
      </c>
      <c r="B1557" s="1" t="str">
        <f>"HELJC01"</f>
        <v>HELJC01</v>
      </c>
      <c r="C1557" s="1" t="str">
        <f>"헬리코박터 의심"</f>
        <v>헬리코박터 의심</v>
      </c>
      <c r="D1557" s="1" t="str">
        <f>"헬리코박터균(Helicobacter pylori) 혈액 검사 결과가 양성으로 나왔습니다. 헬리코박터균은 위염과 궤양의 원인이 되는 병원체입니다. 혈액검사에서 양성으로 나온 경우 헬리코박터균에 감염된 것을 의심할 수 있습니다."</f>
        <v>헬리코박터균(Helicobacter pylori) 혈액 검사 결과가 양성으로 나왔습니다. 헬리코박터균은 위염과 궤양의 원인이 되는 병원체입니다. 혈액검사에서 양성으로 나온 경우 헬리코박터균에 감염된 것을 의심할 수 있습니다.</v>
      </c>
      <c r="E1557" s="1" t="str">
        <f>""</f>
        <v/>
      </c>
      <c r="F1557" s="1" t="str">
        <f>""</f>
        <v/>
      </c>
      <c r="G1557" s="1" t="str">
        <f>""</f>
        <v/>
      </c>
      <c r="H1557" s="1" t="str">
        <f>""</f>
        <v/>
      </c>
      <c r="I1557" s="1" t="str">
        <f>""</f>
        <v/>
      </c>
      <c r="J1557" s="1" t="str">
        <f>""</f>
        <v/>
      </c>
      <c r="K1557" s="1" t="str">
        <f>""</f>
        <v/>
      </c>
      <c r="L1557" s="1" t="str">
        <f t="shared" si="472"/>
        <v>R</v>
      </c>
      <c r="M1557" s="1" t="str">
        <f>""</f>
        <v/>
      </c>
      <c r="N1557" s="1" t="str">
        <f t="shared" si="473"/>
        <v>Y</v>
      </c>
      <c r="O1557" s="1" t="str">
        <f t="shared" si="470"/>
        <v>Y</v>
      </c>
      <c r="P1557" s="1" t="str">
        <f t="shared" si="474"/>
        <v>Y</v>
      </c>
      <c r="Q1557" s="1" t="str">
        <f t="shared" si="471"/>
        <v>A</v>
      </c>
    </row>
    <row r="1558" spans="1:17" x14ac:dyDescent="0.3">
      <c r="A1558" s="1" t="str">
        <f t="shared" si="475"/>
        <v>JC</v>
      </c>
      <c r="B1558" s="1" t="str">
        <f>"HEMJC01"</f>
        <v>HEMJC01</v>
      </c>
      <c r="C1558" s="1" t="str">
        <f>"빈혈"</f>
        <v>빈혈</v>
      </c>
      <c r="D1558" s="1" t="str">
        <f>"혈액검사에서 빈혈(혈색소수치가 정상범위보다 감소한 상태)이 있습니다. 빈혈의 원인규명과 치료를 위해 내원하시기 바랍니다."</f>
        <v>혈액검사에서 빈혈(혈색소수치가 정상범위보다 감소한 상태)이 있습니다. 빈혈의 원인규명과 치료를 위해 내원하시기 바랍니다.</v>
      </c>
      <c r="E1558" s="1" t="str">
        <f>"WOK02"</f>
        <v>WOK02</v>
      </c>
      <c r="F1558" s="1" t="str">
        <f>""</f>
        <v/>
      </c>
      <c r="G1558" s="1" t="str">
        <f>"DISD"</f>
        <v>DISD</v>
      </c>
      <c r="H1558" s="1" t="str">
        <f>"REL12"</f>
        <v>REL12</v>
      </c>
      <c r="I1558" s="1" t="str">
        <f>""</f>
        <v/>
      </c>
      <c r="J1558" s="1" t="str">
        <f>""</f>
        <v/>
      </c>
      <c r="K1558" s="1" t="str">
        <f>""</f>
        <v/>
      </c>
      <c r="L1558" s="1" t="str">
        <f t="shared" si="472"/>
        <v>R</v>
      </c>
      <c r="M1558" s="1" t="str">
        <f>"T01"</f>
        <v>T01</v>
      </c>
      <c r="N1558" s="1" t="str">
        <f t="shared" si="473"/>
        <v>Y</v>
      </c>
      <c r="O1558" s="1" t="str">
        <f t="shared" si="470"/>
        <v>Y</v>
      </c>
      <c r="P1558" s="1" t="str">
        <f t="shared" si="474"/>
        <v>Y</v>
      </c>
      <c r="Q1558" s="1" t="str">
        <f t="shared" si="471"/>
        <v>A</v>
      </c>
    </row>
    <row r="1559" spans="1:17" x14ac:dyDescent="0.3">
      <c r="A1559" s="1" t="str">
        <f t="shared" si="475"/>
        <v>JC</v>
      </c>
      <c r="B1559" s="1" t="str">
        <f>"HEMJC02"</f>
        <v>HEMJC02</v>
      </c>
      <c r="C1559" s="1" t="str">
        <f>"혈색소증가"</f>
        <v>혈색소증가</v>
      </c>
      <c r="D1559" s="1" t="str">
        <f>"혈액검사에서 혈색소가 증가하였습니다. 혈액질환이 있을 경우 혈색소가 증가할 수 있으나 탈수에 따른 혈액농축이나 기타 일시적인 현상에 의해 증가하는 경우도 있습니다. 1개월이내에 다시 검사를 받아보실 것을 권합니다."</f>
        <v>혈액검사에서 혈색소가 증가하였습니다. 혈액질환이 있을 경우 혈색소가 증가할 수 있으나 탈수에 따른 혈액농축이나 기타 일시적인 현상에 의해 증가하는 경우도 있습니다. 1개월이내에 다시 검사를 받아보실 것을 권합니다.</v>
      </c>
      <c r="E1559" s="1" t="str">
        <f>"WOK02"</f>
        <v>WOK02</v>
      </c>
      <c r="F1559" s="1" t="str">
        <f>""</f>
        <v/>
      </c>
      <c r="G1559" s="1" t="str">
        <f>"DISD"</f>
        <v>DISD</v>
      </c>
      <c r="H1559" s="1" t="str">
        <f>"REL12"</f>
        <v>REL12</v>
      </c>
      <c r="I1559" s="1" t="str">
        <f>""</f>
        <v/>
      </c>
      <c r="J1559" s="1" t="str">
        <f>""</f>
        <v/>
      </c>
      <c r="K1559" s="1" t="str">
        <f>""</f>
        <v/>
      </c>
      <c r="L1559" s="1" t="str">
        <f t="shared" si="472"/>
        <v>R</v>
      </c>
      <c r="M1559" s="1" t="str">
        <f>"T01"</f>
        <v>T01</v>
      </c>
      <c r="N1559" s="1" t="str">
        <f t="shared" si="473"/>
        <v>Y</v>
      </c>
      <c r="O1559" s="1" t="str">
        <f t="shared" si="470"/>
        <v>Y</v>
      </c>
      <c r="P1559" s="1" t="str">
        <f t="shared" si="474"/>
        <v>Y</v>
      </c>
      <c r="Q1559" s="1" t="str">
        <f t="shared" si="471"/>
        <v>A</v>
      </c>
    </row>
    <row r="1560" spans="1:17" x14ac:dyDescent="0.3">
      <c r="A1560" s="1" t="str">
        <f t="shared" si="475"/>
        <v>JC</v>
      </c>
      <c r="B1560" s="1" t="str">
        <f>"KALJC01"</f>
        <v>KALJC01</v>
      </c>
      <c r="C1560" s="1" t="str">
        <f>"혈중 칼륨 감소"</f>
        <v>혈중 칼륨 감소</v>
      </c>
      <c r="D1560" s="1" t="str">
        <f>"혈액내 칼륨성분이 감소하였습니다. 신진대사에 이상이 있는 경우 나타날 수 있으나 일시적인 현상일 가능성도 있습니다. 원인규명을 위해 상세한 상담 및 진료가 필요합니다. 내원하시어 상담하시거나 내과 진료를 권합니다."</f>
        <v>혈액내 칼륨성분이 감소하였습니다. 신진대사에 이상이 있는 경우 나타날 수 있으나 일시적인 현상일 가능성도 있습니다. 원인규명을 위해 상세한 상담 및 진료가 필요합니다. 내원하시어 상담하시거나 내과 진료를 권합니다.</v>
      </c>
      <c r="E1560" s="1" t="str">
        <f>""</f>
        <v/>
      </c>
      <c r="F1560" s="1" t="str">
        <f>""</f>
        <v/>
      </c>
      <c r="G1560" s="1" t="str">
        <f>""</f>
        <v/>
      </c>
      <c r="H1560" s="1" t="str">
        <f>""</f>
        <v/>
      </c>
      <c r="I1560" s="1" t="str">
        <f>""</f>
        <v/>
      </c>
      <c r="J1560" s="1" t="str">
        <f>""</f>
        <v/>
      </c>
      <c r="K1560" s="1" t="str">
        <f>""</f>
        <v/>
      </c>
      <c r="L1560" s="1" t="str">
        <f t="shared" si="472"/>
        <v>R</v>
      </c>
      <c r="M1560" s="1" t="str">
        <f>""</f>
        <v/>
      </c>
      <c r="N1560" s="1" t="str">
        <f t="shared" si="473"/>
        <v>Y</v>
      </c>
      <c r="O1560" s="1" t="str">
        <f t="shared" si="470"/>
        <v>Y</v>
      </c>
      <c r="P1560" s="1" t="str">
        <f t="shared" si="474"/>
        <v>Y</v>
      </c>
      <c r="Q1560" s="1" t="str">
        <f t="shared" si="471"/>
        <v>A</v>
      </c>
    </row>
    <row r="1561" spans="1:17" x14ac:dyDescent="0.3">
      <c r="A1561" s="1" t="str">
        <f t="shared" si="475"/>
        <v>JC</v>
      </c>
      <c r="B1561" s="1" t="str">
        <f>"KALJC02"</f>
        <v>KALJC02</v>
      </c>
      <c r="C1561" s="1" t="str">
        <f>"혈중 칼륨 증가"</f>
        <v>혈중 칼륨 증가</v>
      </c>
      <c r="D1561" s="1" t="str">
        <f>"혈액내 칼륨성분이 증가하였습니다. 신진대사에 이상이 있는 경우 나타날 수 있으나 일시적인 현상일 가능성도 있습니다. 원인규명을 위해 상세한 상담 및 진료가 필요합니다. 내원하시어 상담하시거나 내과 진료를 권합니다."</f>
        <v>혈액내 칼륨성분이 증가하였습니다. 신진대사에 이상이 있는 경우 나타날 수 있으나 일시적인 현상일 가능성도 있습니다. 원인규명을 위해 상세한 상담 및 진료가 필요합니다. 내원하시어 상담하시거나 내과 진료를 권합니다.</v>
      </c>
      <c r="E1561" s="1" t="str">
        <f>""</f>
        <v/>
      </c>
      <c r="F1561" s="1" t="str">
        <f>""</f>
        <v/>
      </c>
      <c r="G1561" s="1" t="str">
        <f>""</f>
        <v/>
      </c>
      <c r="H1561" s="1" t="str">
        <f>""</f>
        <v/>
      </c>
      <c r="I1561" s="1" t="str">
        <f>""</f>
        <v/>
      </c>
      <c r="J1561" s="1" t="str">
        <f>""</f>
        <v/>
      </c>
      <c r="K1561" s="1" t="str">
        <f>""</f>
        <v/>
      </c>
      <c r="L1561" s="1" t="str">
        <f t="shared" si="472"/>
        <v>R</v>
      </c>
      <c r="M1561" s="1" t="str">
        <f>""</f>
        <v/>
      </c>
      <c r="N1561" s="1" t="str">
        <f t="shared" si="473"/>
        <v>Y</v>
      </c>
      <c r="O1561" s="1" t="str">
        <f t="shared" si="470"/>
        <v>Y</v>
      </c>
      <c r="P1561" s="1" t="str">
        <f t="shared" si="474"/>
        <v>Y</v>
      </c>
      <c r="Q1561" s="1" t="str">
        <f t="shared" si="471"/>
        <v>A</v>
      </c>
    </row>
    <row r="1562" spans="1:17" x14ac:dyDescent="0.3">
      <c r="A1562" s="1" t="str">
        <f t="shared" si="475"/>
        <v>JC</v>
      </c>
      <c r="B1562" s="1" t="str">
        <f>"LACJC01"</f>
        <v>LACJC01</v>
      </c>
      <c r="C1562" s="1" t="str">
        <f>"혈중 유산탈수소효소 상승"</f>
        <v>혈중 유산탈수소효소 상승</v>
      </c>
      <c r="D1562" s="1" t="str">
        <f>"혈액검사상 유산탈수소효소(LDH)치가 상승하였습니다. 보조지표로서 건강인에서도 흔히 상승하므로 단독상승으로는 큰 의미가 없겠으나 일단은 재검사를 받아 확인해 보시는 것이 좋겠습니다."</f>
        <v>혈액검사상 유산탈수소효소(LDH)치가 상승하였습니다. 보조지표로서 건강인에서도 흔히 상승하므로 단독상승으로는 큰 의미가 없겠으나 일단은 재검사를 받아 확인해 보시는 것이 좋겠습니다.</v>
      </c>
      <c r="E1562" s="1" t="str">
        <f>"WOK02"</f>
        <v>WOK02</v>
      </c>
      <c r="F1562" s="1" t="str">
        <f>""</f>
        <v/>
      </c>
      <c r="G1562" s="1" t="str">
        <f>"DISK"</f>
        <v>DISK</v>
      </c>
      <c r="H1562" s="1" t="str">
        <f>"REL05"</f>
        <v>REL05</v>
      </c>
      <c r="I1562" s="1" t="str">
        <f>""</f>
        <v/>
      </c>
      <c r="J1562" s="1" t="str">
        <f>""</f>
        <v/>
      </c>
      <c r="K1562" s="1" t="str">
        <f>""</f>
        <v/>
      </c>
      <c r="L1562" s="1" t="str">
        <f t="shared" si="472"/>
        <v>R</v>
      </c>
      <c r="M1562" s="1" t="str">
        <f>"T02"</f>
        <v>T02</v>
      </c>
      <c r="N1562" s="1" t="str">
        <f t="shared" si="473"/>
        <v>Y</v>
      </c>
      <c r="O1562" s="1" t="str">
        <f t="shared" si="470"/>
        <v>Y</v>
      </c>
      <c r="P1562" s="1" t="str">
        <f t="shared" si="474"/>
        <v>Y</v>
      </c>
      <c r="Q1562" s="1" t="str">
        <f t="shared" si="471"/>
        <v>A</v>
      </c>
    </row>
    <row r="1563" spans="1:17" x14ac:dyDescent="0.3">
      <c r="A1563" s="1" t="str">
        <f t="shared" si="475"/>
        <v>JC</v>
      </c>
      <c r="B1563" s="1" t="str">
        <f>"NITJC01"</f>
        <v>NITJC01</v>
      </c>
      <c r="C1563" s="1" t="str">
        <f>"뇨중 아질산염 검출"</f>
        <v>뇨중 아질산염 검출</v>
      </c>
      <c r="D1563" s="1" t="str">
        <f>"소변검사에서 아질산염 성분이 검출됩니다. 소변의 아질산염 성분은 비뇨기계의 염증이 있을 경우 나타날 수 있습니다. 가까운 시일내에 소변 검사를 다시 받고 상담하시기 바랍니다."</f>
        <v>소변검사에서 아질산염 성분이 검출됩니다. 소변의 아질산염 성분은 비뇨기계의 염증이 있을 경우 나타날 수 있습니다. 가까운 시일내에 소변 검사를 다시 받고 상담하시기 바랍니다.</v>
      </c>
      <c r="E1563" s="1" t="str">
        <f>""</f>
        <v/>
      </c>
      <c r="F1563" s="1" t="str">
        <f>""</f>
        <v/>
      </c>
      <c r="G1563" s="1" t="str">
        <f>""</f>
        <v/>
      </c>
      <c r="H1563" s="1" t="str">
        <f>""</f>
        <v/>
      </c>
      <c r="I1563" s="1" t="str">
        <f>""</f>
        <v/>
      </c>
      <c r="J1563" s="1" t="str">
        <f>""</f>
        <v/>
      </c>
      <c r="K1563" s="1" t="str">
        <f>""</f>
        <v/>
      </c>
      <c r="L1563" s="1" t="str">
        <f t="shared" si="472"/>
        <v>R</v>
      </c>
      <c r="M1563" s="1" t="str">
        <f>""</f>
        <v/>
      </c>
      <c r="N1563" s="1" t="str">
        <f t="shared" si="473"/>
        <v>Y</v>
      </c>
      <c r="O1563" s="1" t="str">
        <f t="shared" si="470"/>
        <v>Y</v>
      </c>
      <c r="P1563" s="1" t="str">
        <f t="shared" si="474"/>
        <v>Y</v>
      </c>
      <c r="Q1563" s="1" t="str">
        <f t="shared" si="471"/>
        <v>A</v>
      </c>
    </row>
    <row r="1564" spans="1:17" x14ac:dyDescent="0.3">
      <c r="A1564" s="1" t="str">
        <f t="shared" si="475"/>
        <v>JC</v>
      </c>
      <c r="B1564" s="1" t="str">
        <f>"NSEJC01"</f>
        <v>NSEJC01</v>
      </c>
      <c r="C1564" s="1" t="str">
        <f>"폐암 표지자 양성"</f>
        <v>폐암 표지자 양성</v>
      </c>
      <c r="D1564" s="1" t="s">
        <v>450</v>
      </c>
      <c r="E1564" s="1" t="str">
        <f>""</f>
        <v/>
      </c>
      <c r="F1564" s="1" t="str">
        <f>""</f>
        <v/>
      </c>
      <c r="G1564" s="1" t="str">
        <f>""</f>
        <v/>
      </c>
      <c r="H1564" s="1" t="str">
        <f>""</f>
        <v/>
      </c>
      <c r="I1564" s="1" t="str">
        <f>""</f>
        <v/>
      </c>
      <c r="J1564" s="1" t="str">
        <f>""</f>
        <v/>
      </c>
      <c r="K1564" s="1" t="str">
        <f>""</f>
        <v/>
      </c>
      <c r="L1564" s="1" t="str">
        <f t="shared" si="472"/>
        <v>R</v>
      </c>
      <c r="M1564" s="1" t="str">
        <f>""</f>
        <v/>
      </c>
      <c r="N1564" s="1" t="str">
        <f t="shared" si="473"/>
        <v>Y</v>
      </c>
      <c r="O1564" s="1" t="str">
        <f t="shared" si="470"/>
        <v>Y</v>
      </c>
      <c r="P1564" s="1" t="str">
        <f t="shared" si="474"/>
        <v>Y</v>
      </c>
      <c r="Q1564" s="1" t="str">
        <f t="shared" si="471"/>
        <v>A</v>
      </c>
    </row>
    <row r="1565" spans="1:17" x14ac:dyDescent="0.3">
      <c r="A1565" s="1" t="str">
        <f t="shared" si="475"/>
        <v>JC</v>
      </c>
      <c r="B1565" s="1" t="str">
        <f>"OCUJB02"</f>
        <v>OCUJB02</v>
      </c>
      <c r="C1565" s="1" t="str">
        <f>"안압상승"</f>
        <v>안압상승</v>
      </c>
      <c r="D1565" s="1" t="str">
        <f>"안압검사에서 안압상승 소견이 있습니다. 녹내장과 같은 안과질환에서 안압이 상승할 수 있습니다. 안과진료를 받으시기 바랍니다."</f>
        <v>안압검사에서 안압상승 소견이 있습니다. 녹내장과 같은 안과질환에서 안압이 상승할 수 있습니다. 안과진료를 받으시기 바랍니다.</v>
      </c>
      <c r="E1565" s="1" t="str">
        <f>""</f>
        <v/>
      </c>
      <c r="F1565" s="1" t="str">
        <f>""</f>
        <v/>
      </c>
      <c r="G1565" s="1" t="str">
        <f>""</f>
        <v/>
      </c>
      <c r="H1565" s="1" t="str">
        <f>""</f>
        <v/>
      </c>
      <c r="I1565" s="1" t="str">
        <f>""</f>
        <v/>
      </c>
      <c r="J1565" s="1" t="str">
        <f>""</f>
        <v/>
      </c>
      <c r="K1565" s="1" t="str">
        <f>""</f>
        <v/>
      </c>
      <c r="L1565" s="1" t="str">
        <f t="shared" si="472"/>
        <v>R</v>
      </c>
      <c r="M1565" s="1" t="str">
        <f>""</f>
        <v/>
      </c>
      <c r="N1565" s="1" t="str">
        <f t="shared" si="473"/>
        <v>Y</v>
      </c>
      <c r="O1565" s="1" t="str">
        <f t="shared" si="470"/>
        <v>Y</v>
      </c>
      <c r="P1565" s="1" t="str">
        <f t="shared" si="474"/>
        <v>Y</v>
      </c>
      <c r="Q1565" s="1" t="str">
        <f t="shared" si="471"/>
        <v>A</v>
      </c>
    </row>
    <row r="1566" spans="1:17" x14ac:dyDescent="0.3">
      <c r="A1566" s="1" t="str">
        <f t="shared" si="475"/>
        <v>JC</v>
      </c>
      <c r="B1566" s="1" t="str">
        <f>"OCUJC01"</f>
        <v>OCUJC01</v>
      </c>
      <c r="C1566" s="1" t="str">
        <f>"녹내장 의심"</f>
        <v>녹내장 의심</v>
      </c>
      <c r="D1566" s="1" t="str">
        <f>"안압이 높습니다. 녹내장이 의심되니 재검사 바랍니다."</f>
        <v>안압이 높습니다. 녹내장이 의심되니 재검사 바랍니다.</v>
      </c>
      <c r="E1566" s="1" t="str">
        <f>""</f>
        <v/>
      </c>
      <c r="F1566" s="1" t="str">
        <f>""</f>
        <v/>
      </c>
      <c r="G1566" s="1" t="str">
        <f>""</f>
        <v/>
      </c>
      <c r="H1566" s="1" t="str">
        <f>""</f>
        <v/>
      </c>
      <c r="I1566" s="1" t="str">
        <f>""</f>
        <v/>
      </c>
      <c r="J1566" s="1" t="str">
        <f>""</f>
        <v/>
      </c>
      <c r="K1566" s="1" t="str">
        <f>""</f>
        <v/>
      </c>
      <c r="L1566" s="1" t="str">
        <f t="shared" si="472"/>
        <v>R</v>
      </c>
      <c r="M1566" s="1" t="str">
        <f>""</f>
        <v/>
      </c>
      <c r="N1566" s="1" t="str">
        <f t="shared" si="473"/>
        <v>Y</v>
      </c>
      <c r="O1566" s="1" t="str">
        <f t="shared" si="470"/>
        <v>Y</v>
      </c>
      <c r="P1566" s="1" t="str">
        <f t="shared" si="474"/>
        <v>Y</v>
      </c>
      <c r="Q1566" s="1" t="str">
        <f t="shared" si="471"/>
        <v>A</v>
      </c>
    </row>
    <row r="1567" spans="1:17" x14ac:dyDescent="0.3">
      <c r="A1567" s="1" t="str">
        <f t="shared" si="475"/>
        <v>JC</v>
      </c>
      <c r="B1567" s="1" t="str">
        <f>"OCUJC02"</f>
        <v>OCUJC02</v>
      </c>
      <c r="C1567" s="1" t="str">
        <f>"안저소견의 이상"</f>
        <v>안저소견의 이상</v>
      </c>
      <c r="D1567" s="1" t="str">
        <f>"안저소견의 이상이 의심됩니다. 정밀검사 바랍니다."</f>
        <v>안저소견의 이상이 의심됩니다. 정밀검사 바랍니다.</v>
      </c>
      <c r="E1567" s="1" t="str">
        <f>""</f>
        <v/>
      </c>
      <c r="F1567" s="1" t="str">
        <f>""</f>
        <v/>
      </c>
      <c r="G1567" s="1" t="str">
        <f>""</f>
        <v/>
      </c>
      <c r="H1567" s="1" t="str">
        <f>""</f>
        <v/>
      </c>
      <c r="I1567" s="1" t="str">
        <f>""</f>
        <v/>
      </c>
      <c r="J1567" s="1" t="str">
        <f>""</f>
        <v/>
      </c>
      <c r="K1567" s="1" t="str">
        <f>""</f>
        <v/>
      </c>
      <c r="L1567" s="1" t="str">
        <f t="shared" si="472"/>
        <v>R</v>
      </c>
      <c r="M1567" s="1" t="str">
        <f>""</f>
        <v/>
      </c>
      <c r="N1567" s="1" t="str">
        <f t="shared" si="473"/>
        <v>Y</v>
      </c>
      <c r="O1567" s="1" t="str">
        <f t="shared" si="470"/>
        <v>Y</v>
      </c>
      <c r="P1567" s="1" t="str">
        <f t="shared" si="474"/>
        <v>Y</v>
      </c>
      <c r="Q1567" s="1" t="str">
        <f t="shared" si="471"/>
        <v>A</v>
      </c>
    </row>
    <row r="1568" spans="1:17" x14ac:dyDescent="0.3">
      <c r="A1568" s="1" t="str">
        <f t="shared" si="475"/>
        <v>JC</v>
      </c>
      <c r="B1568" s="1" t="str">
        <f>"OCUJC03"</f>
        <v>OCUJC03</v>
      </c>
      <c r="C1568" s="1" t="str">
        <f>"녹내장 의심"</f>
        <v>녹내장 의심</v>
      </c>
      <c r="D1568" s="1" t="str">
        <f>"안저검사결과 녹내장이 의심됩니다. 정밀검사 바랍니다."</f>
        <v>안저검사결과 녹내장이 의심됩니다. 정밀검사 바랍니다.</v>
      </c>
      <c r="E1568" s="1" t="str">
        <f>""</f>
        <v/>
      </c>
      <c r="F1568" s="1" t="str">
        <f>""</f>
        <v/>
      </c>
      <c r="G1568" s="1" t="str">
        <f>""</f>
        <v/>
      </c>
      <c r="H1568" s="1" t="str">
        <f>""</f>
        <v/>
      </c>
      <c r="I1568" s="1" t="str">
        <f>""</f>
        <v/>
      </c>
      <c r="J1568" s="1" t="str">
        <f>""</f>
        <v/>
      </c>
      <c r="K1568" s="1" t="str">
        <f>""</f>
        <v/>
      </c>
      <c r="L1568" s="1" t="str">
        <f t="shared" si="472"/>
        <v>R</v>
      </c>
      <c r="M1568" s="1" t="str">
        <f>""</f>
        <v/>
      </c>
      <c r="N1568" s="1" t="str">
        <f t="shared" si="473"/>
        <v>Y</v>
      </c>
      <c r="O1568" s="1" t="str">
        <f t="shared" si="470"/>
        <v>Y</v>
      </c>
      <c r="P1568" s="1" t="str">
        <f t="shared" si="474"/>
        <v>Y</v>
      </c>
      <c r="Q1568" s="1" t="str">
        <f t="shared" si="471"/>
        <v>A</v>
      </c>
    </row>
    <row r="1569" spans="1:17" x14ac:dyDescent="0.3">
      <c r="A1569" s="1" t="str">
        <f t="shared" si="475"/>
        <v>JC</v>
      </c>
      <c r="B1569" s="1" t="str">
        <f>"PHOJC01"</f>
        <v>PHOJC01</v>
      </c>
      <c r="C1569" s="1" t="str">
        <f>"혈중 인 감소"</f>
        <v>혈중 인 감소</v>
      </c>
      <c r="D1569" s="1" t="str">
        <f>"혈액내 인성분이 감소하였습니다. 신진대사에 이상이 있는 경우 나타날 수 있으나 일시적인 현상일 가능성도 있습니다. 원인규명을 위해 상세한 상담 및 진료가 필요합니다. 내원하시어 상담하시거나 내과 진료를 권합니다."</f>
        <v>혈액내 인성분이 감소하였습니다. 신진대사에 이상이 있는 경우 나타날 수 있으나 일시적인 현상일 가능성도 있습니다. 원인규명을 위해 상세한 상담 및 진료가 필요합니다. 내원하시어 상담하시거나 내과 진료를 권합니다.</v>
      </c>
      <c r="E1569" s="1" t="str">
        <f>""</f>
        <v/>
      </c>
      <c r="F1569" s="1" t="str">
        <f>""</f>
        <v/>
      </c>
      <c r="G1569" s="1" t="str">
        <f>""</f>
        <v/>
      </c>
      <c r="H1569" s="1" t="str">
        <f>""</f>
        <v/>
      </c>
      <c r="I1569" s="1" t="str">
        <f>""</f>
        <v/>
      </c>
      <c r="J1569" s="1" t="str">
        <f>""</f>
        <v/>
      </c>
      <c r="K1569" s="1" t="str">
        <f>""</f>
        <v/>
      </c>
      <c r="L1569" s="1" t="str">
        <f t="shared" si="472"/>
        <v>R</v>
      </c>
      <c r="M1569" s="1" t="str">
        <f>""</f>
        <v/>
      </c>
      <c r="N1569" s="1" t="str">
        <f t="shared" si="473"/>
        <v>Y</v>
      </c>
      <c r="O1569" s="1" t="str">
        <f t="shared" si="470"/>
        <v>Y</v>
      </c>
      <c r="P1569" s="1" t="str">
        <f t="shared" si="474"/>
        <v>Y</v>
      </c>
      <c r="Q1569" s="1" t="str">
        <f t="shared" si="471"/>
        <v>A</v>
      </c>
    </row>
    <row r="1570" spans="1:17" x14ac:dyDescent="0.3">
      <c r="A1570" s="1" t="str">
        <f t="shared" si="475"/>
        <v>JC</v>
      </c>
      <c r="B1570" s="1" t="str">
        <f>"PHOJC02"</f>
        <v>PHOJC02</v>
      </c>
      <c r="C1570" s="1" t="str">
        <f>"혈중 인 증가"</f>
        <v>혈중 인 증가</v>
      </c>
      <c r="D1570" s="1" t="str">
        <f>"혈액내 인성분이 증가하였습니다. 신진대사에 이상이 있는 경우 나타날 수 있으나 일시적인 현상일 가능성도 있습니다. 원인규명을 위해 상세한 상담 및 진료가 필요합니다. 내원하시어 상담하시거나 내과 진료를 권합니다."</f>
        <v>혈액내 인성분이 증가하였습니다. 신진대사에 이상이 있는 경우 나타날 수 있으나 일시적인 현상일 가능성도 있습니다. 원인규명을 위해 상세한 상담 및 진료가 필요합니다. 내원하시어 상담하시거나 내과 진료를 권합니다.</v>
      </c>
      <c r="E1570" s="1" t="str">
        <f>""</f>
        <v/>
      </c>
      <c r="F1570" s="1" t="str">
        <f>""</f>
        <v/>
      </c>
      <c r="G1570" s="1" t="str">
        <f>""</f>
        <v/>
      </c>
      <c r="H1570" s="1" t="str">
        <f>""</f>
        <v/>
      </c>
      <c r="I1570" s="1" t="str">
        <f>""</f>
        <v/>
      </c>
      <c r="J1570" s="1" t="str">
        <f>""</f>
        <v/>
      </c>
      <c r="K1570" s="1" t="str">
        <f>""</f>
        <v/>
      </c>
      <c r="L1570" s="1" t="str">
        <f t="shared" si="472"/>
        <v>R</v>
      </c>
      <c r="M1570" s="1" t="str">
        <f>""</f>
        <v/>
      </c>
      <c r="N1570" s="1" t="str">
        <f t="shared" si="473"/>
        <v>Y</v>
      </c>
      <c r="O1570" s="1" t="str">
        <f t="shared" si="470"/>
        <v>Y</v>
      </c>
      <c r="P1570" s="1" t="str">
        <f t="shared" si="474"/>
        <v>Y</v>
      </c>
      <c r="Q1570" s="1" t="str">
        <f t="shared" si="471"/>
        <v>A</v>
      </c>
    </row>
    <row r="1571" spans="1:17" x14ac:dyDescent="0.3">
      <c r="A1571" s="1" t="str">
        <f t="shared" si="475"/>
        <v>JC</v>
      </c>
      <c r="B1571" s="1" t="str">
        <f>"PSAJC01"</f>
        <v>PSAJC01</v>
      </c>
      <c r="C1571" s="1" t="str">
        <f>"전립선암 표지자 양성"</f>
        <v>전립선암 표지자 양성</v>
      </c>
      <c r="D1571" s="1" t="s">
        <v>466</v>
      </c>
      <c r="E1571" s="1" t="str">
        <f>""</f>
        <v/>
      </c>
      <c r="F1571" s="1" t="str">
        <f>""</f>
        <v/>
      </c>
      <c r="G1571" s="1" t="str">
        <f>""</f>
        <v/>
      </c>
      <c r="H1571" s="1" t="str">
        <f>""</f>
        <v/>
      </c>
      <c r="I1571" s="1" t="str">
        <f>""</f>
        <v/>
      </c>
      <c r="J1571" s="1" t="str">
        <f>""</f>
        <v/>
      </c>
      <c r="K1571" s="1" t="str">
        <f>""</f>
        <v/>
      </c>
      <c r="L1571" s="1" t="str">
        <f t="shared" si="472"/>
        <v>R</v>
      </c>
      <c r="M1571" s="1" t="str">
        <f>""</f>
        <v/>
      </c>
      <c r="N1571" s="1" t="str">
        <f t="shared" si="473"/>
        <v>Y</v>
      </c>
      <c r="O1571" s="1" t="str">
        <f t="shared" si="470"/>
        <v>Y</v>
      </c>
      <c r="P1571" s="1" t="str">
        <f t="shared" si="474"/>
        <v>Y</v>
      </c>
      <c r="Q1571" s="1" t="str">
        <f t="shared" si="471"/>
        <v>A</v>
      </c>
    </row>
    <row r="1572" spans="1:17" x14ac:dyDescent="0.3">
      <c r="A1572" s="1" t="str">
        <f t="shared" si="475"/>
        <v>JC</v>
      </c>
      <c r="B1572" s="1" t="str">
        <f>"PSAJC02"</f>
        <v>PSAJC02</v>
      </c>
      <c r="C1572" s="1" t="str">
        <f>"경도의 전립선 비대"</f>
        <v>경도의 전립선 비대</v>
      </c>
      <c r="D1572" s="1" t="s">
        <v>467</v>
      </c>
      <c r="E1572" s="1" t="str">
        <f>""</f>
        <v/>
      </c>
      <c r="F1572" s="1" t="str">
        <f>""</f>
        <v/>
      </c>
      <c r="G1572" s="1" t="str">
        <f>""</f>
        <v/>
      </c>
      <c r="H1572" s="1" t="str">
        <f>""</f>
        <v/>
      </c>
      <c r="I1572" s="1" t="str">
        <f>""</f>
        <v/>
      </c>
      <c r="J1572" s="1" t="str">
        <f>""</f>
        <v/>
      </c>
      <c r="K1572" s="1" t="str">
        <f>""</f>
        <v/>
      </c>
      <c r="L1572" s="1" t="str">
        <f t="shared" si="472"/>
        <v>R</v>
      </c>
      <c r="M1572" s="1" t="str">
        <f>""</f>
        <v/>
      </c>
      <c r="N1572" s="1" t="str">
        <f t="shared" si="473"/>
        <v>Y</v>
      </c>
      <c r="O1572" s="1" t="str">
        <f t="shared" si="470"/>
        <v>Y</v>
      </c>
      <c r="P1572" s="1" t="str">
        <f t="shared" si="474"/>
        <v>Y</v>
      </c>
      <c r="Q1572" s="1" t="str">
        <f t="shared" si="471"/>
        <v>A</v>
      </c>
    </row>
    <row r="1573" spans="1:17" x14ac:dyDescent="0.3">
      <c r="A1573" s="1" t="str">
        <f t="shared" si="475"/>
        <v>JC</v>
      </c>
      <c r="B1573" s="1" t="str">
        <f>"RAFJC01"</f>
        <v>RAFJC01</v>
      </c>
      <c r="C1573" s="1" t="str">
        <f>"류마티스인자 양성"</f>
        <v>류마티스인자 양성</v>
      </c>
      <c r="D1573" s="1" t="str">
        <f>"류마치스 인자가 양성입니다. 류마치스 인자는 류마치스 관절염에서 양성으로 나올 수 있으나 일반적인  염증 등의 경우에서도 양성으로 반응할 수 있으므로 추이의 변화를 관찰하기 위해 1개월후 재검사하여 확인하시기 바랍니다."</f>
        <v>류마치스 인자가 양성입니다. 류마치스 인자는 류마치스 관절염에서 양성으로 나올 수 있으나 일반적인  염증 등의 경우에서도 양성으로 반응할 수 있으므로 추이의 변화를 관찰하기 위해 1개월후 재검사하여 확인하시기 바랍니다.</v>
      </c>
      <c r="E1573" s="1" t="str">
        <f>""</f>
        <v/>
      </c>
      <c r="F1573" s="1" t="str">
        <f>""</f>
        <v/>
      </c>
      <c r="G1573" s="1" t="str">
        <f>""</f>
        <v/>
      </c>
      <c r="H1573" s="1" t="str">
        <f>""</f>
        <v/>
      </c>
      <c r="I1573" s="1" t="str">
        <f>""</f>
        <v/>
      </c>
      <c r="J1573" s="1" t="str">
        <f>""</f>
        <v/>
      </c>
      <c r="K1573" s="1" t="str">
        <f>""</f>
        <v/>
      </c>
      <c r="L1573" s="1" t="str">
        <f t="shared" si="472"/>
        <v>R</v>
      </c>
      <c r="M1573" s="1" t="str">
        <f>""</f>
        <v/>
      </c>
      <c r="N1573" s="1" t="str">
        <f t="shared" si="473"/>
        <v>Y</v>
      </c>
      <c r="O1573" s="1" t="str">
        <f t="shared" si="470"/>
        <v>Y</v>
      </c>
      <c r="P1573" s="1" t="str">
        <f t="shared" si="474"/>
        <v>Y</v>
      </c>
      <c r="Q1573" s="1" t="str">
        <f t="shared" si="471"/>
        <v>A</v>
      </c>
    </row>
    <row r="1574" spans="1:17" x14ac:dyDescent="0.3">
      <c r="A1574" s="1" t="str">
        <f t="shared" si="475"/>
        <v>JC</v>
      </c>
      <c r="B1574" s="1" t="str">
        <f>"SODJC01"</f>
        <v>SODJC01</v>
      </c>
      <c r="C1574" s="1" t="str">
        <f>"혈중 나트륨 감소"</f>
        <v>혈중 나트륨 감소</v>
      </c>
      <c r="D1574" s="1" t="str">
        <f>"혈액내 나트륨성분이 감소하였습니다. 신진대사에 이상이 있는 경우 나타날 수 있으나 일시적인 현상일 가능성도 있습니다. 원인규명을 위해 상세한 상담 및 진료가 필요합니다. 내원하시어 상담하시거나 내과 진료를 권합니다."</f>
        <v>혈액내 나트륨성분이 감소하였습니다. 신진대사에 이상이 있는 경우 나타날 수 있으나 일시적인 현상일 가능성도 있습니다. 원인규명을 위해 상세한 상담 및 진료가 필요합니다. 내원하시어 상담하시거나 내과 진료를 권합니다.</v>
      </c>
      <c r="E1574" s="1" t="str">
        <f>""</f>
        <v/>
      </c>
      <c r="F1574" s="1" t="str">
        <f>""</f>
        <v/>
      </c>
      <c r="G1574" s="1" t="str">
        <f>""</f>
        <v/>
      </c>
      <c r="H1574" s="1" t="str">
        <f>""</f>
        <v/>
      </c>
      <c r="I1574" s="1" t="str">
        <f>""</f>
        <v/>
      </c>
      <c r="J1574" s="1" t="str">
        <f>""</f>
        <v/>
      </c>
      <c r="K1574" s="1" t="str">
        <f>""</f>
        <v/>
      </c>
      <c r="L1574" s="1" t="str">
        <f t="shared" si="472"/>
        <v>R</v>
      </c>
      <c r="M1574" s="1" t="str">
        <f>""</f>
        <v/>
      </c>
      <c r="N1574" s="1" t="str">
        <f t="shared" si="473"/>
        <v>Y</v>
      </c>
      <c r="O1574" s="1" t="str">
        <f t="shared" si="470"/>
        <v>Y</v>
      </c>
      <c r="P1574" s="1" t="str">
        <f t="shared" si="474"/>
        <v>Y</v>
      </c>
      <c r="Q1574" s="1" t="str">
        <f t="shared" si="471"/>
        <v>A</v>
      </c>
    </row>
    <row r="1575" spans="1:17" x14ac:dyDescent="0.3">
      <c r="A1575" s="1" t="str">
        <f t="shared" si="475"/>
        <v>JC</v>
      </c>
      <c r="B1575" s="1" t="str">
        <f>"SODJC02"</f>
        <v>SODJC02</v>
      </c>
      <c r="C1575" s="1" t="str">
        <f>"혈중 나트륨 증가"</f>
        <v>혈중 나트륨 증가</v>
      </c>
      <c r="D1575" s="1" t="str">
        <f>"혈액내 나트륨성분이 증가하였습니다. 신진대사에 이상이 있는 경우 나타날 수 있으나 일시적인 현상일 가능성도 있습니다. 원인규명을 위해 상세한 상담 및 진료가 필요합니다. 내원하시어 상담하시거나 내과 진료를 권합니다."</f>
        <v>혈액내 나트륨성분이 증가하였습니다. 신진대사에 이상이 있는 경우 나타날 수 있으나 일시적인 현상일 가능성도 있습니다. 원인규명을 위해 상세한 상담 및 진료가 필요합니다. 내원하시어 상담하시거나 내과 진료를 권합니다.</v>
      </c>
      <c r="E1575" s="1" t="str">
        <f>""</f>
        <v/>
      </c>
      <c r="F1575" s="1" t="str">
        <f>""</f>
        <v/>
      </c>
      <c r="G1575" s="1" t="str">
        <f>""</f>
        <v/>
      </c>
      <c r="H1575" s="1" t="str">
        <f>""</f>
        <v/>
      </c>
      <c r="I1575" s="1" t="str">
        <f>""</f>
        <v/>
      </c>
      <c r="J1575" s="1" t="str">
        <f>""</f>
        <v/>
      </c>
      <c r="K1575" s="1" t="str">
        <f>""</f>
        <v/>
      </c>
      <c r="L1575" s="1" t="str">
        <f t="shared" si="472"/>
        <v>R</v>
      </c>
      <c r="M1575" s="1" t="str">
        <f>""</f>
        <v/>
      </c>
      <c r="N1575" s="1" t="str">
        <f t="shared" si="473"/>
        <v>Y</v>
      </c>
      <c r="O1575" s="1" t="str">
        <f t="shared" si="470"/>
        <v>Y</v>
      </c>
      <c r="P1575" s="1" t="str">
        <f t="shared" si="474"/>
        <v>Y</v>
      </c>
      <c r="Q1575" s="1" t="str">
        <f t="shared" si="471"/>
        <v>A</v>
      </c>
    </row>
    <row r="1576" spans="1:17" x14ac:dyDescent="0.3">
      <c r="A1576" s="1" t="str">
        <f t="shared" si="475"/>
        <v>JC</v>
      </c>
      <c r="B1576" s="1" t="str">
        <f>"SONJC01"</f>
        <v>SONJC01</v>
      </c>
      <c r="C1576" s="1" t="str">
        <f>"중등도의 지방간"</f>
        <v>중등도의 지방간</v>
      </c>
      <c r="D1576" s="1" t="s">
        <v>468</v>
      </c>
      <c r="E1576" s="1" t="str">
        <f>""</f>
        <v/>
      </c>
      <c r="F1576" s="1" t="str">
        <f>""</f>
        <v/>
      </c>
      <c r="G1576" s="1" t="str">
        <f>""</f>
        <v/>
      </c>
      <c r="H1576" s="1" t="str">
        <f>""</f>
        <v/>
      </c>
      <c r="I1576" s="1" t="str">
        <f>""</f>
        <v/>
      </c>
      <c r="J1576" s="1" t="str">
        <f>""</f>
        <v/>
      </c>
      <c r="K1576" s="1" t="str">
        <f>""</f>
        <v/>
      </c>
      <c r="L1576" s="1" t="str">
        <f t="shared" si="472"/>
        <v>R</v>
      </c>
      <c r="M1576" s="1" t="str">
        <f>""</f>
        <v/>
      </c>
      <c r="N1576" s="1" t="str">
        <f t="shared" si="473"/>
        <v>Y</v>
      </c>
      <c r="O1576" s="1" t="str">
        <f t="shared" si="470"/>
        <v>Y</v>
      </c>
      <c r="P1576" s="1" t="str">
        <f t="shared" si="474"/>
        <v>Y</v>
      </c>
      <c r="Q1576" s="1" t="str">
        <f t="shared" si="471"/>
        <v>A</v>
      </c>
    </row>
    <row r="1577" spans="1:17" x14ac:dyDescent="0.3">
      <c r="A1577" s="1" t="str">
        <f t="shared" si="475"/>
        <v>JC</v>
      </c>
      <c r="B1577" s="1" t="str">
        <f>"SONJC02"</f>
        <v>SONJC02</v>
      </c>
      <c r="C1577" s="1" t="str">
        <f>"고도의 지방간"</f>
        <v>고도의 지방간</v>
      </c>
      <c r="D1577" s="1" t="s">
        <v>468</v>
      </c>
      <c r="E1577" s="1" t="str">
        <f>""</f>
        <v/>
      </c>
      <c r="F1577" s="1" t="str">
        <f>""</f>
        <v/>
      </c>
      <c r="G1577" s="1" t="str">
        <f>""</f>
        <v/>
      </c>
      <c r="H1577" s="1" t="str">
        <f>""</f>
        <v/>
      </c>
      <c r="I1577" s="1" t="str">
        <f>""</f>
        <v/>
      </c>
      <c r="J1577" s="1" t="str">
        <f>""</f>
        <v/>
      </c>
      <c r="K1577" s="1" t="str">
        <f>""</f>
        <v/>
      </c>
      <c r="L1577" s="1" t="str">
        <f t="shared" si="472"/>
        <v>R</v>
      </c>
      <c r="M1577" s="1" t="str">
        <f>""</f>
        <v/>
      </c>
      <c r="N1577" s="1" t="str">
        <f t="shared" si="473"/>
        <v>Y</v>
      </c>
      <c r="O1577" s="1" t="str">
        <f t="shared" si="470"/>
        <v>Y</v>
      </c>
      <c r="P1577" s="1" t="str">
        <f t="shared" si="474"/>
        <v>Y</v>
      </c>
      <c r="Q1577" s="1" t="str">
        <f t="shared" si="471"/>
        <v>A</v>
      </c>
    </row>
    <row r="1578" spans="1:17" x14ac:dyDescent="0.3">
      <c r="A1578" s="1" t="str">
        <f t="shared" si="475"/>
        <v>JC</v>
      </c>
      <c r="B1578" s="1" t="str">
        <f>"SONJC03"</f>
        <v>SONJC03</v>
      </c>
      <c r="C1578" s="1" t="str">
        <f>"간좌엽 혈관종"</f>
        <v>간좌엽 혈관종</v>
      </c>
      <c r="D1578" s="1" t="str">
        <f>"복부초음파 검사에서 간에 종괴가 관찰되는데 혈관종으로 보입니다. 혈관종은 대부분의 경우 문제가 없습니다. 그러나 초음파에서 발견된 종괴가 확실히 혈관종인지를 확인하기 위해서는 컴퓨터 단층촬영같은 정밀검사가 필요합니다."</f>
        <v>복부초음파 검사에서 간에 종괴가 관찰되는데 혈관종으로 보입니다. 혈관종은 대부분의 경우 문제가 없습니다. 그러나 초음파에서 발견된 종괴가 확실히 혈관종인지를 확인하기 위해서는 컴퓨터 단층촬영같은 정밀검사가 필요합니다.</v>
      </c>
      <c r="E1578" s="1" t="str">
        <f>""</f>
        <v/>
      </c>
      <c r="F1578" s="1" t="str">
        <f>""</f>
        <v/>
      </c>
      <c r="G1578" s="1" t="str">
        <f>""</f>
        <v/>
      </c>
      <c r="H1578" s="1" t="str">
        <f>""</f>
        <v/>
      </c>
      <c r="I1578" s="1" t="str">
        <f>""</f>
        <v/>
      </c>
      <c r="J1578" s="1" t="str">
        <f>""</f>
        <v/>
      </c>
      <c r="K1578" s="1" t="str">
        <f>""</f>
        <v/>
      </c>
      <c r="L1578" s="1" t="str">
        <f t="shared" si="472"/>
        <v>R</v>
      </c>
      <c r="M1578" s="1" t="str">
        <f>""</f>
        <v/>
      </c>
      <c r="N1578" s="1" t="str">
        <f t="shared" si="473"/>
        <v>Y</v>
      </c>
      <c r="O1578" s="1" t="str">
        <f t="shared" si="470"/>
        <v>Y</v>
      </c>
      <c r="P1578" s="1" t="str">
        <f t="shared" si="474"/>
        <v>Y</v>
      </c>
      <c r="Q1578" s="1" t="str">
        <f t="shared" si="471"/>
        <v>A</v>
      </c>
    </row>
    <row r="1579" spans="1:17" x14ac:dyDescent="0.3">
      <c r="A1579" s="1" t="str">
        <f t="shared" si="475"/>
        <v>JC</v>
      </c>
      <c r="B1579" s="1" t="str">
        <f>"SONJC04"</f>
        <v>SONJC04</v>
      </c>
      <c r="C1579" s="1" t="str">
        <f>"간우엽 혈관종"</f>
        <v>간우엽 혈관종</v>
      </c>
      <c r="D1579" s="1" t="str">
        <f>"복부초음파 검사에서 간에 종괴가 관찰되는데 혈관종으로 보입니다. 혈관종은 대부분의 경우 문제가 없습니다. 그러나 초음파에서 발견된 종괴가 확실히 혈관종인지를 확인하기 위해서는 컴퓨터 단층촬영같은 정밀검사가 필요합니다."</f>
        <v>복부초음파 검사에서 간에 종괴가 관찰되는데 혈관종으로 보입니다. 혈관종은 대부분의 경우 문제가 없습니다. 그러나 초음파에서 발견된 종괴가 확실히 혈관종인지를 확인하기 위해서는 컴퓨터 단층촬영같은 정밀검사가 필요합니다.</v>
      </c>
      <c r="E1579" s="1" t="str">
        <f>""</f>
        <v/>
      </c>
      <c r="F1579" s="1" t="str">
        <f>""</f>
        <v/>
      </c>
      <c r="G1579" s="1" t="str">
        <f>""</f>
        <v/>
      </c>
      <c r="H1579" s="1" t="str">
        <f>""</f>
        <v/>
      </c>
      <c r="I1579" s="1" t="str">
        <f>""</f>
        <v/>
      </c>
      <c r="J1579" s="1" t="str">
        <f>""</f>
        <v/>
      </c>
      <c r="K1579" s="1" t="str">
        <f>""</f>
        <v/>
      </c>
      <c r="L1579" s="1" t="str">
        <f t="shared" si="472"/>
        <v>R</v>
      </c>
      <c r="M1579" s="1" t="str">
        <f>""</f>
        <v/>
      </c>
      <c r="N1579" s="1" t="str">
        <f t="shared" si="473"/>
        <v>Y</v>
      </c>
      <c r="O1579" s="1" t="str">
        <f t="shared" si="470"/>
        <v>Y</v>
      </c>
      <c r="P1579" s="1" t="str">
        <f t="shared" si="474"/>
        <v>Y</v>
      </c>
      <c r="Q1579" s="1" t="str">
        <f t="shared" si="471"/>
        <v>A</v>
      </c>
    </row>
    <row r="1580" spans="1:17" x14ac:dyDescent="0.3">
      <c r="A1580" s="1" t="str">
        <f t="shared" si="475"/>
        <v>JC</v>
      </c>
      <c r="B1580" s="1" t="str">
        <f>"SONJC05"</f>
        <v>SONJC05</v>
      </c>
      <c r="C1580" s="1" t="str">
        <f>"간좌우엽 혈관종"</f>
        <v>간좌우엽 혈관종</v>
      </c>
      <c r="D1580" s="1" t="str">
        <f>"복부초음파 검사에서 간에 종괴가 관찰되는데 혈관종으로 보입니다. 혈관종은 대부분의 경우 문제가 없습니다. 그러나 초음파에서 발견된 종괴가 확실히 혈관종인지를 확인하기 위해서는 컴퓨터 단층촬영같은 정밀검사가 필요합니다."</f>
        <v>복부초음파 검사에서 간에 종괴가 관찰되는데 혈관종으로 보입니다. 혈관종은 대부분의 경우 문제가 없습니다. 그러나 초음파에서 발견된 종괴가 확실히 혈관종인지를 확인하기 위해서는 컴퓨터 단층촬영같은 정밀검사가 필요합니다.</v>
      </c>
      <c r="E1580" s="1" t="str">
        <f>""</f>
        <v/>
      </c>
      <c r="F1580" s="1" t="str">
        <f>""</f>
        <v/>
      </c>
      <c r="G1580" s="1" t="str">
        <f>""</f>
        <v/>
      </c>
      <c r="H1580" s="1" t="str">
        <f>""</f>
        <v/>
      </c>
      <c r="I1580" s="1" t="str">
        <f>""</f>
        <v/>
      </c>
      <c r="J1580" s="1" t="str">
        <f>""</f>
        <v/>
      </c>
      <c r="K1580" s="1" t="str">
        <f>""</f>
        <v/>
      </c>
      <c r="L1580" s="1" t="str">
        <f t="shared" si="472"/>
        <v>R</v>
      </c>
      <c r="M1580" s="1" t="str">
        <f>""</f>
        <v/>
      </c>
      <c r="N1580" s="1" t="str">
        <f t="shared" si="473"/>
        <v>Y</v>
      </c>
      <c r="O1580" s="1" t="str">
        <f t="shared" si="470"/>
        <v>Y</v>
      </c>
      <c r="P1580" s="1" t="str">
        <f t="shared" si="474"/>
        <v>Y</v>
      </c>
      <c r="Q1580" s="1" t="str">
        <f t="shared" si="471"/>
        <v>A</v>
      </c>
    </row>
    <row r="1581" spans="1:17" x14ac:dyDescent="0.3">
      <c r="A1581" s="1" t="str">
        <f t="shared" si="475"/>
        <v>JC</v>
      </c>
      <c r="B1581" s="1" t="str">
        <f>"SONJC06"</f>
        <v>SONJC06</v>
      </c>
      <c r="C1581" s="1" t="str">
        <f>"간비대"</f>
        <v>간비대</v>
      </c>
      <c r="D1581" s="1" t="str">
        <f>"복부초음파 검사 결과 간의 크기가 커져 보입니다 (간비대). 간의 염증같은 질환이 있을때 나타나기도 하지만 개인차에 의해 커져 보이는 경우도 많습니다. 정밀검사를 위해 내원하여 상담하시기 바랍니다."</f>
        <v>복부초음파 검사 결과 간의 크기가 커져 보입니다 (간비대). 간의 염증같은 질환이 있을때 나타나기도 하지만 개인차에 의해 커져 보이는 경우도 많습니다. 정밀검사를 위해 내원하여 상담하시기 바랍니다.</v>
      </c>
      <c r="E1581" s="1" t="str">
        <f>""</f>
        <v/>
      </c>
      <c r="F1581" s="1" t="str">
        <f>""</f>
        <v/>
      </c>
      <c r="G1581" s="1" t="str">
        <f>""</f>
        <v/>
      </c>
      <c r="H1581" s="1" t="str">
        <f>""</f>
        <v/>
      </c>
      <c r="I1581" s="1" t="str">
        <f>""</f>
        <v/>
      </c>
      <c r="J1581" s="1" t="str">
        <f>""</f>
        <v/>
      </c>
      <c r="K1581" s="1" t="str">
        <f>""</f>
        <v/>
      </c>
      <c r="L1581" s="1" t="str">
        <f t="shared" si="472"/>
        <v>R</v>
      </c>
      <c r="M1581" s="1" t="str">
        <f>""</f>
        <v/>
      </c>
      <c r="N1581" s="1" t="str">
        <f t="shared" si="473"/>
        <v>Y</v>
      </c>
      <c r="O1581" s="1" t="str">
        <f t="shared" si="470"/>
        <v>Y</v>
      </c>
      <c r="P1581" s="1" t="str">
        <f t="shared" si="474"/>
        <v>Y</v>
      </c>
      <c r="Q1581" s="1" t="str">
        <f t="shared" si="471"/>
        <v>A</v>
      </c>
    </row>
    <row r="1582" spans="1:17" x14ac:dyDescent="0.3">
      <c r="A1582" s="1" t="str">
        <f t="shared" si="475"/>
        <v>JC</v>
      </c>
      <c r="B1582" s="1" t="str">
        <f>"SONJC07"</f>
        <v>SONJC07</v>
      </c>
      <c r="C1582" s="1" t="str">
        <f>"기타 간질환"</f>
        <v>기타 간질환</v>
      </c>
      <c r="D1582" s="1" t="s">
        <v>469</v>
      </c>
      <c r="E1582" s="1" t="str">
        <f>""</f>
        <v/>
      </c>
      <c r="F1582" s="1" t="str">
        <f>""</f>
        <v/>
      </c>
      <c r="G1582" s="1" t="str">
        <f>""</f>
        <v/>
      </c>
      <c r="H1582" s="1" t="str">
        <f>""</f>
        <v/>
      </c>
      <c r="I1582" s="1" t="str">
        <f>""</f>
        <v/>
      </c>
      <c r="J1582" s="1" t="str">
        <f>""</f>
        <v/>
      </c>
      <c r="K1582" s="1" t="str">
        <f>""</f>
        <v/>
      </c>
      <c r="L1582" s="1" t="str">
        <f t="shared" si="472"/>
        <v>R</v>
      </c>
      <c r="M1582" s="1" t="str">
        <f>""</f>
        <v/>
      </c>
      <c r="N1582" s="1" t="str">
        <f t="shared" si="473"/>
        <v>Y</v>
      </c>
      <c r="O1582" s="1" t="str">
        <f t="shared" si="470"/>
        <v>Y</v>
      </c>
      <c r="P1582" s="1" t="str">
        <f t="shared" si="474"/>
        <v>Y</v>
      </c>
      <c r="Q1582" s="1" t="str">
        <f t="shared" si="471"/>
        <v>A</v>
      </c>
    </row>
    <row r="1583" spans="1:17" x14ac:dyDescent="0.3">
      <c r="A1583" s="1" t="str">
        <f t="shared" si="475"/>
        <v>JC</v>
      </c>
      <c r="B1583" s="1" t="str">
        <f>"SONJC08"</f>
        <v>SONJC08</v>
      </c>
      <c r="C1583" s="1" t="str">
        <f>"담도 결석"</f>
        <v>담도 결석</v>
      </c>
      <c r="D1583" s="1" t="s">
        <v>470</v>
      </c>
      <c r="E1583" s="1" t="str">
        <f>""</f>
        <v/>
      </c>
      <c r="F1583" s="1" t="str">
        <f>""</f>
        <v/>
      </c>
      <c r="G1583" s="1" t="str">
        <f>""</f>
        <v/>
      </c>
      <c r="H1583" s="1" t="str">
        <f>""</f>
        <v/>
      </c>
      <c r="I1583" s="1" t="str">
        <f>""</f>
        <v/>
      </c>
      <c r="J1583" s="1" t="str">
        <f>""</f>
        <v/>
      </c>
      <c r="K1583" s="1" t="str">
        <f>""</f>
        <v/>
      </c>
      <c r="L1583" s="1" t="str">
        <f t="shared" si="472"/>
        <v>R</v>
      </c>
      <c r="M1583" s="1" t="str">
        <f>""</f>
        <v/>
      </c>
      <c r="N1583" s="1" t="str">
        <f t="shared" si="473"/>
        <v>Y</v>
      </c>
      <c r="O1583" s="1" t="str">
        <f t="shared" si="470"/>
        <v>Y</v>
      </c>
      <c r="P1583" s="1" t="str">
        <f t="shared" si="474"/>
        <v>Y</v>
      </c>
      <c r="Q1583" s="1" t="str">
        <f t="shared" si="471"/>
        <v>A</v>
      </c>
    </row>
    <row r="1584" spans="1:17" x14ac:dyDescent="0.3">
      <c r="A1584" s="1" t="str">
        <f t="shared" si="475"/>
        <v>JC</v>
      </c>
      <c r="B1584" s="1" t="str">
        <f>"SONJC09"</f>
        <v>SONJC09</v>
      </c>
      <c r="C1584" s="1" t="str">
        <f>"담낭 용종"</f>
        <v>담낭 용종</v>
      </c>
      <c r="D1584" s="1" t="str">
        <f>"복부초음파 검사에서 담낭내 용종이 발견됩니다. 담낭 용종은 그 자체로는 큰 문제가 되지않으나 크기가 1cm 보다 큰 경우에는 암으로 변할 가능성이 있어 주의가 필요합니다. 내원하셔서 상담하시기 바랍니다."</f>
        <v>복부초음파 검사에서 담낭내 용종이 발견됩니다. 담낭 용종은 그 자체로는 큰 문제가 되지않으나 크기가 1cm 보다 큰 경우에는 암으로 변할 가능성이 있어 주의가 필요합니다. 내원하셔서 상담하시기 바랍니다.</v>
      </c>
      <c r="E1584" s="1" t="str">
        <f>""</f>
        <v/>
      </c>
      <c r="F1584" s="1" t="str">
        <f>""</f>
        <v/>
      </c>
      <c r="G1584" s="1" t="str">
        <f>""</f>
        <v/>
      </c>
      <c r="H1584" s="1" t="str">
        <f>""</f>
        <v/>
      </c>
      <c r="I1584" s="1" t="str">
        <f>""</f>
        <v/>
      </c>
      <c r="J1584" s="1" t="str">
        <f>""</f>
        <v/>
      </c>
      <c r="K1584" s="1" t="str">
        <f>""</f>
        <v/>
      </c>
      <c r="L1584" s="1" t="str">
        <f t="shared" si="472"/>
        <v>R</v>
      </c>
      <c r="M1584" s="1" t="str">
        <f>""</f>
        <v/>
      </c>
      <c r="N1584" s="1" t="str">
        <f t="shared" si="473"/>
        <v>Y</v>
      </c>
      <c r="O1584" s="1" t="str">
        <f t="shared" si="470"/>
        <v>Y</v>
      </c>
      <c r="P1584" s="1" t="str">
        <f t="shared" si="474"/>
        <v>Y</v>
      </c>
      <c r="Q1584" s="1" t="str">
        <f t="shared" si="471"/>
        <v>A</v>
      </c>
    </row>
    <row r="1585" spans="1:17" x14ac:dyDescent="0.3">
      <c r="A1585" s="1" t="str">
        <f t="shared" si="475"/>
        <v>JC</v>
      </c>
      <c r="B1585" s="1" t="str">
        <f>"SONJC10"</f>
        <v>SONJC10</v>
      </c>
      <c r="C1585" s="1" t="str">
        <f>"기타 신장의 이상소견"</f>
        <v>기타 신장의 이상소견</v>
      </c>
      <c r="D1585" s="1" t="s">
        <v>471</v>
      </c>
      <c r="E1585" s="1" t="str">
        <f>""</f>
        <v/>
      </c>
      <c r="F1585" s="1" t="str">
        <f>""</f>
        <v/>
      </c>
      <c r="G1585" s="1" t="str">
        <f>""</f>
        <v/>
      </c>
      <c r="H1585" s="1" t="str">
        <f>""</f>
        <v/>
      </c>
      <c r="I1585" s="1" t="str">
        <f>""</f>
        <v/>
      </c>
      <c r="J1585" s="1" t="str">
        <f>""</f>
        <v/>
      </c>
      <c r="K1585" s="1" t="str">
        <f>""</f>
        <v/>
      </c>
      <c r="L1585" s="1" t="str">
        <f t="shared" si="472"/>
        <v>R</v>
      </c>
      <c r="M1585" s="1" t="str">
        <f>""</f>
        <v/>
      </c>
      <c r="N1585" s="1" t="str">
        <f t="shared" si="473"/>
        <v>Y</v>
      </c>
      <c r="O1585" s="1" t="str">
        <f t="shared" si="470"/>
        <v>Y</v>
      </c>
      <c r="P1585" s="1" t="str">
        <f t="shared" si="474"/>
        <v>Y</v>
      </c>
      <c r="Q1585" s="1" t="str">
        <f t="shared" si="471"/>
        <v>A</v>
      </c>
    </row>
    <row r="1586" spans="1:17" x14ac:dyDescent="0.3">
      <c r="A1586" s="1" t="str">
        <f t="shared" si="475"/>
        <v>JC</v>
      </c>
      <c r="B1586" s="1" t="str">
        <f>"SONJC11"</f>
        <v>SONJC11</v>
      </c>
      <c r="C1586" s="1" t="str">
        <f>"좌측 신장 결석"</f>
        <v>좌측 신장 결석</v>
      </c>
      <c r="D1586" s="1" t="str">
        <f>"복부초음파 검사에서 신장결석이 발견됩니다. 결석은 그 자체로는 별 문제가 없으나 장기내에서 움직이다 담관 등을 막는 경우 염증과 함께 격심한 통증을 유발할 수 있습니다. 초음파 검사로 상태 변화를 관찰하는 것이 필요합니다."</f>
        <v>복부초음파 검사에서 신장결석이 발견됩니다. 결석은 그 자체로는 별 문제가 없으나 장기내에서 움직이다 담관 등을 막는 경우 염증과 함께 격심한 통증을 유발할 수 있습니다. 초음파 검사로 상태 변화를 관찰하는 것이 필요합니다.</v>
      </c>
      <c r="E1586" s="1" t="str">
        <f>""</f>
        <v/>
      </c>
      <c r="F1586" s="1" t="str">
        <f>""</f>
        <v/>
      </c>
      <c r="G1586" s="1" t="str">
        <f>""</f>
        <v/>
      </c>
      <c r="H1586" s="1" t="str">
        <f>""</f>
        <v/>
      </c>
      <c r="I1586" s="1" t="str">
        <f>""</f>
        <v/>
      </c>
      <c r="J1586" s="1" t="str">
        <f>""</f>
        <v/>
      </c>
      <c r="K1586" s="1" t="str">
        <f>""</f>
        <v/>
      </c>
      <c r="L1586" s="1" t="str">
        <f t="shared" si="472"/>
        <v>R</v>
      </c>
      <c r="M1586" s="1" t="str">
        <f>""</f>
        <v/>
      </c>
      <c r="N1586" s="1" t="str">
        <f t="shared" si="473"/>
        <v>Y</v>
      </c>
      <c r="O1586" s="1" t="str">
        <f t="shared" si="470"/>
        <v>Y</v>
      </c>
      <c r="P1586" s="1" t="str">
        <f t="shared" si="474"/>
        <v>Y</v>
      </c>
      <c r="Q1586" s="1" t="str">
        <f t="shared" si="471"/>
        <v>A</v>
      </c>
    </row>
    <row r="1587" spans="1:17" x14ac:dyDescent="0.3">
      <c r="A1587" s="1" t="str">
        <f t="shared" si="475"/>
        <v>JC</v>
      </c>
      <c r="B1587" s="1" t="str">
        <f>"SONJC12"</f>
        <v>SONJC12</v>
      </c>
      <c r="C1587" s="1" t="str">
        <f>"우측 신장 결석"</f>
        <v>우측 신장 결석</v>
      </c>
      <c r="D1587" s="1" t="str">
        <f>"복부초음파 검사에서 신장결석이 발견됩니다. 결석은 그 자체로는 별 문제가 없으나 장기내에서 움직이다 담관 등을 막는 경우 염증과 함께 격심한 통증을 유발할 수 있습니다. 초음파 검사로 상태 변화를 관찰하는 것이 필요합니다."</f>
        <v>복부초음파 검사에서 신장결석이 발견됩니다. 결석은 그 자체로는 별 문제가 없으나 장기내에서 움직이다 담관 등을 막는 경우 염증과 함께 격심한 통증을 유발할 수 있습니다. 초음파 검사로 상태 변화를 관찰하는 것이 필요합니다.</v>
      </c>
      <c r="E1587" s="1" t="str">
        <f>""</f>
        <v/>
      </c>
      <c r="F1587" s="1" t="str">
        <f>""</f>
        <v/>
      </c>
      <c r="G1587" s="1" t="str">
        <f>""</f>
        <v/>
      </c>
      <c r="H1587" s="1" t="str">
        <f>""</f>
        <v/>
      </c>
      <c r="I1587" s="1" t="str">
        <f>""</f>
        <v/>
      </c>
      <c r="J1587" s="1" t="str">
        <f>""</f>
        <v/>
      </c>
      <c r="K1587" s="1" t="str">
        <f>""</f>
        <v/>
      </c>
      <c r="L1587" s="1" t="str">
        <f t="shared" si="472"/>
        <v>R</v>
      </c>
      <c r="M1587" s="1" t="str">
        <f>""</f>
        <v/>
      </c>
      <c r="N1587" s="1" t="str">
        <f t="shared" si="473"/>
        <v>Y</v>
      </c>
      <c r="O1587" s="1" t="str">
        <f t="shared" si="470"/>
        <v>Y</v>
      </c>
      <c r="P1587" s="1" t="str">
        <f t="shared" si="474"/>
        <v>Y</v>
      </c>
      <c r="Q1587" s="1" t="str">
        <f t="shared" si="471"/>
        <v>A</v>
      </c>
    </row>
    <row r="1588" spans="1:17" x14ac:dyDescent="0.3">
      <c r="A1588" s="1" t="str">
        <f t="shared" si="475"/>
        <v>JC</v>
      </c>
      <c r="B1588" s="1" t="str">
        <f>"SONJC13"</f>
        <v>SONJC13</v>
      </c>
      <c r="C1588" s="1" t="str">
        <f>"양측 신장 결석"</f>
        <v>양측 신장 결석</v>
      </c>
      <c r="D1588" s="1" t="str">
        <f>"복부초음파 검사에서 신장결석이 발견됩니다. 결석은 그 자체로는 별 문제가 없으나 장기내에서 움직이다 담관 등을 막는 경우 염증과 함께 격심한 통증을 유발할 수 있습니다. 초음파 검사로 상태 변화를 관찰하는 것이 필요합니다."</f>
        <v>복부초음파 검사에서 신장결석이 발견됩니다. 결석은 그 자체로는 별 문제가 없으나 장기내에서 움직이다 담관 등을 막는 경우 염증과 함께 격심한 통증을 유발할 수 있습니다. 초음파 검사로 상태 변화를 관찰하는 것이 필요합니다.</v>
      </c>
      <c r="E1588" s="1" t="str">
        <f>""</f>
        <v/>
      </c>
      <c r="F1588" s="1" t="str">
        <f>""</f>
        <v/>
      </c>
      <c r="G1588" s="1" t="str">
        <f>""</f>
        <v/>
      </c>
      <c r="H1588" s="1" t="str">
        <f>""</f>
        <v/>
      </c>
      <c r="I1588" s="1" t="str">
        <f>""</f>
        <v/>
      </c>
      <c r="J1588" s="1" t="str">
        <f>""</f>
        <v/>
      </c>
      <c r="K1588" s="1" t="str">
        <f>""</f>
        <v/>
      </c>
      <c r="L1588" s="1" t="str">
        <f t="shared" si="472"/>
        <v>R</v>
      </c>
      <c r="M1588" s="1" t="str">
        <f>""</f>
        <v/>
      </c>
      <c r="N1588" s="1" t="str">
        <f t="shared" si="473"/>
        <v>Y</v>
      </c>
      <c r="O1588" s="1" t="str">
        <f t="shared" si="470"/>
        <v>Y</v>
      </c>
      <c r="P1588" s="1" t="str">
        <f t="shared" si="474"/>
        <v>Y</v>
      </c>
      <c r="Q1588" s="1" t="str">
        <f t="shared" si="471"/>
        <v>A</v>
      </c>
    </row>
    <row r="1589" spans="1:17" x14ac:dyDescent="0.3">
      <c r="A1589" s="1" t="str">
        <f t="shared" ref="A1589:A1620" si="476">"JC"</f>
        <v>JC</v>
      </c>
      <c r="B1589" s="1" t="str">
        <f>"SONJC14"</f>
        <v>SONJC14</v>
      </c>
      <c r="C1589" s="1" t="str">
        <f>"신장 위축 소견"</f>
        <v>신장 위축 소견</v>
      </c>
      <c r="D1589" s="1" t="s">
        <v>472</v>
      </c>
      <c r="E1589" s="1" t="str">
        <f>""</f>
        <v/>
      </c>
      <c r="F1589" s="1" t="str">
        <f>""</f>
        <v/>
      </c>
      <c r="G1589" s="1" t="str">
        <f>""</f>
        <v/>
      </c>
      <c r="H1589" s="1" t="str">
        <f>""</f>
        <v/>
      </c>
      <c r="I1589" s="1" t="str">
        <f>""</f>
        <v/>
      </c>
      <c r="J1589" s="1" t="str">
        <f>""</f>
        <v/>
      </c>
      <c r="K1589" s="1" t="str">
        <f>""</f>
        <v/>
      </c>
      <c r="L1589" s="1" t="str">
        <f t="shared" si="472"/>
        <v>R</v>
      </c>
      <c r="M1589" s="1" t="str">
        <f>""</f>
        <v/>
      </c>
      <c r="N1589" s="1" t="str">
        <f t="shared" si="473"/>
        <v>Y</v>
      </c>
      <c r="O1589" s="1" t="str">
        <f t="shared" si="470"/>
        <v>Y</v>
      </c>
      <c r="P1589" s="1" t="str">
        <f t="shared" si="474"/>
        <v>Y</v>
      </c>
      <c r="Q1589" s="1" t="str">
        <f t="shared" si="471"/>
        <v>A</v>
      </c>
    </row>
    <row r="1590" spans="1:17" x14ac:dyDescent="0.3">
      <c r="A1590" s="1" t="str">
        <f t="shared" si="476"/>
        <v>JC</v>
      </c>
      <c r="B1590" s="1" t="str">
        <f>"SONJC15"</f>
        <v>SONJC15</v>
      </c>
      <c r="C1590" s="1" t="str">
        <f>"기타 비장의 이상소견"</f>
        <v>기타 비장의 이상소견</v>
      </c>
      <c r="D1590" s="1" t="s">
        <v>473</v>
      </c>
      <c r="E1590" s="1" t="str">
        <f>""</f>
        <v/>
      </c>
      <c r="F1590" s="1" t="str">
        <f>""</f>
        <v/>
      </c>
      <c r="G1590" s="1" t="str">
        <f>""</f>
        <v/>
      </c>
      <c r="H1590" s="1" t="str">
        <f>""</f>
        <v/>
      </c>
      <c r="I1590" s="1" t="str">
        <f>""</f>
        <v/>
      </c>
      <c r="J1590" s="1" t="str">
        <f>""</f>
        <v/>
      </c>
      <c r="K1590" s="1" t="str">
        <f>""</f>
        <v/>
      </c>
      <c r="L1590" s="1" t="str">
        <f t="shared" si="472"/>
        <v>R</v>
      </c>
      <c r="M1590" s="1" t="str">
        <f>""</f>
        <v/>
      </c>
      <c r="N1590" s="1" t="str">
        <f t="shared" si="473"/>
        <v>Y</v>
      </c>
      <c r="O1590" s="1" t="str">
        <f t="shared" si="470"/>
        <v>Y</v>
      </c>
      <c r="P1590" s="1" t="str">
        <f t="shared" si="474"/>
        <v>Y</v>
      </c>
      <c r="Q1590" s="1" t="str">
        <f t="shared" si="471"/>
        <v>A</v>
      </c>
    </row>
    <row r="1591" spans="1:17" x14ac:dyDescent="0.3">
      <c r="A1591" s="1" t="str">
        <f t="shared" si="476"/>
        <v>JC</v>
      </c>
      <c r="B1591" s="1" t="str">
        <f>"SONJC16"</f>
        <v>SONJC16</v>
      </c>
      <c r="C1591" s="1" t="str">
        <f>"비장 비대"</f>
        <v>비장 비대</v>
      </c>
      <c r="D1591" s="1" t="s">
        <v>474</v>
      </c>
      <c r="E1591" s="1" t="str">
        <f>""</f>
        <v/>
      </c>
      <c r="F1591" s="1" t="str">
        <f>""</f>
        <v/>
      </c>
      <c r="G1591" s="1" t="str">
        <f>""</f>
        <v/>
      </c>
      <c r="H1591" s="1" t="str">
        <f>""</f>
        <v/>
      </c>
      <c r="I1591" s="1" t="str">
        <f>""</f>
        <v/>
      </c>
      <c r="J1591" s="1" t="str">
        <f>""</f>
        <v/>
      </c>
      <c r="K1591" s="1" t="str">
        <f>""</f>
        <v/>
      </c>
      <c r="L1591" s="1" t="str">
        <f t="shared" si="472"/>
        <v>R</v>
      </c>
      <c r="M1591" s="1" t="str">
        <f>""</f>
        <v/>
      </c>
      <c r="N1591" s="1" t="str">
        <f t="shared" si="473"/>
        <v>Y</v>
      </c>
      <c r="O1591" s="1" t="str">
        <f t="shared" si="470"/>
        <v>Y</v>
      </c>
      <c r="P1591" s="1" t="str">
        <f t="shared" si="474"/>
        <v>Y</v>
      </c>
      <c r="Q1591" s="1" t="str">
        <f t="shared" si="471"/>
        <v>A</v>
      </c>
    </row>
    <row r="1592" spans="1:17" x14ac:dyDescent="0.3">
      <c r="A1592" s="1" t="str">
        <f t="shared" si="476"/>
        <v>JC</v>
      </c>
      <c r="B1592" s="1" t="str">
        <f>"SONJC17"</f>
        <v>SONJC17</v>
      </c>
      <c r="C1592" s="1" t="str">
        <f>"기타 췌장의 이상소견"</f>
        <v>기타 췌장의 이상소견</v>
      </c>
      <c r="D1592" s="1" t="s">
        <v>475</v>
      </c>
      <c r="E1592" s="1" t="str">
        <f>""</f>
        <v/>
      </c>
      <c r="F1592" s="1" t="str">
        <f>""</f>
        <v/>
      </c>
      <c r="G1592" s="1" t="str">
        <f>""</f>
        <v/>
      </c>
      <c r="H1592" s="1" t="str">
        <f>""</f>
        <v/>
      </c>
      <c r="I1592" s="1" t="str">
        <f>""</f>
        <v/>
      </c>
      <c r="J1592" s="1" t="str">
        <f>""</f>
        <v/>
      </c>
      <c r="K1592" s="1" t="str">
        <f>""</f>
        <v/>
      </c>
      <c r="L1592" s="1" t="str">
        <f t="shared" si="472"/>
        <v>R</v>
      </c>
      <c r="M1592" s="1" t="str">
        <f>""</f>
        <v/>
      </c>
      <c r="N1592" s="1" t="str">
        <f t="shared" si="473"/>
        <v>Y</v>
      </c>
      <c r="O1592" s="1" t="str">
        <f t="shared" si="470"/>
        <v>Y</v>
      </c>
      <c r="P1592" s="1" t="str">
        <f t="shared" si="474"/>
        <v>Y</v>
      </c>
      <c r="Q1592" s="1" t="str">
        <f t="shared" si="471"/>
        <v>A</v>
      </c>
    </row>
    <row r="1593" spans="1:17" x14ac:dyDescent="0.3">
      <c r="A1593" s="1" t="str">
        <f t="shared" si="476"/>
        <v>JC</v>
      </c>
      <c r="B1593" s="1" t="str">
        <f>"SONJC18"</f>
        <v>SONJC18</v>
      </c>
      <c r="C1593" s="1" t="str">
        <f>"간 종괴"</f>
        <v>간 종괴</v>
      </c>
      <c r="D1593" s="1" t="s">
        <v>476</v>
      </c>
      <c r="E1593" s="1" t="str">
        <f>""</f>
        <v/>
      </c>
      <c r="F1593" s="1" t="str">
        <f>""</f>
        <v/>
      </c>
      <c r="G1593" s="1" t="str">
        <f>""</f>
        <v/>
      </c>
      <c r="H1593" s="1" t="str">
        <f>""</f>
        <v/>
      </c>
      <c r="I1593" s="1" t="str">
        <f>""</f>
        <v/>
      </c>
      <c r="J1593" s="1" t="str">
        <f>""</f>
        <v/>
      </c>
      <c r="K1593" s="1" t="str">
        <f>""</f>
        <v/>
      </c>
      <c r="L1593" s="1" t="str">
        <f t="shared" si="472"/>
        <v>R</v>
      </c>
      <c r="M1593" s="1" t="str">
        <f>""</f>
        <v/>
      </c>
      <c r="N1593" s="1" t="str">
        <f t="shared" si="473"/>
        <v>Y</v>
      </c>
      <c r="O1593" s="1" t="str">
        <f t="shared" si="470"/>
        <v>Y</v>
      </c>
      <c r="P1593" s="1" t="str">
        <f t="shared" si="474"/>
        <v>Y</v>
      </c>
      <c r="Q1593" s="1" t="str">
        <f t="shared" si="471"/>
        <v>A</v>
      </c>
    </row>
    <row r="1594" spans="1:17" x14ac:dyDescent="0.3">
      <c r="A1594" s="1" t="str">
        <f t="shared" si="476"/>
        <v>JC</v>
      </c>
      <c r="B1594" s="1" t="str">
        <f>"SONJC182"</f>
        <v>SONJC182</v>
      </c>
      <c r="C1594" s="1" t="str">
        <f>"간실질 불규칙한 음영"</f>
        <v>간실질 불규칙한 음영</v>
      </c>
      <c r="D1594" s="1" t="s">
        <v>477</v>
      </c>
      <c r="E1594" s="1" t="str">
        <f>""</f>
        <v/>
      </c>
      <c r="F1594" s="1" t="str">
        <f>""</f>
        <v/>
      </c>
      <c r="G1594" s="1" t="str">
        <f>""</f>
        <v/>
      </c>
      <c r="H1594" s="1" t="str">
        <f>""</f>
        <v/>
      </c>
      <c r="I1594" s="1" t="str">
        <f>""</f>
        <v/>
      </c>
      <c r="J1594" s="1" t="str">
        <f>""</f>
        <v/>
      </c>
      <c r="K1594" s="1" t="str">
        <f>""</f>
        <v/>
      </c>
      <c r="L1594" s="1" t="str">
        <f t="shared" si="472"/>
        <v>R</v>
      </c>
      <c r="M1594" s="1" t="str">
        <f>""</f>
        <v/>
      </c>
      <c r="N1594" s="1" t="str">
        <f t="shared" si="473"/>
        <v>Y</v>
      </c>
      <c r="O1594" s="1" t="str">
        <f t="shared" ref="O1594:O1657" si="477">"Y"</f>
        <v>Y</v>
      </c>
      <c r="P1594" s="1" t="str">
        <f t="shared" si="474"/>
        <v>Y</v>
      </c>
      <c r="Q1594" s="1" t="str">
        <f t="shared" si="471"/>
        <v>A</v>
      </c>
    </row>
    <row r="1595" spans="1:17" x14ac:dyDescent="0.3">
      <c r="A1595" s="1" t="str">
        <f t="shared" si="476"/>
        <v>JC</v>
      </c>
      <c r="B1595" s="1" t="str">
        <f>"SONJC19"</f>
        <v>SONJC19</v>
      </c>
      <c r="C1595" s="1" t="str">
        <f>"간경화"</f>
        <v>간경화</v>
      </c>
      <c r="D1595" s="1" t="s">
        <v>478</v>
      </c>
      <c r="E1595" s="1" t="str">
        <f>""</f>
        <v/>
      </c>
      <c r="F1595" s="1" t="str">
        <f>""</f>
        <v/>
      </c>
      <c r="G1595" s="1" t="str">
        <f>""</f>
        <v/>
      </c>
      <c r="H1595" s="1" t="str">
        <f>""</f>
        <v/>
      </c>
      <c r="I1595" s="1" t="str">
        <f>""</f>
        <v/>
      </c>
      <c r="J1595" s="1" t="str">
        <f>""</f>
        <v/>
      </c>
      <c r="K1595" s="1" t="str">
        <f>""</f>
        <v/>
      </c>
      <c r="L1595" s="1" t="str">
        <f t="shared" si="472"/>
        <v>R</v>
      </c>
      <c r="M1595" s="1" t="str">
        <f>""</f>
        <v/>
      </c>
      <c r="N1595" s="1" t="str">
        <f t="shared" si="473"/>
        <v>Y</v>
      </c>
      <c r="O1595" s="1" t="str">
        <f t="shared" si="477"/>
        <v>Y</v>
      </c>
      <c r="P1595" s="1" t="str">
        <f t="shared" si="474"/>
        <v>Y</v>
      </c>
      <c r="Q1595" s="1" t="str">
        <f t="shared" si="471"/>
        <v>A</v>
      </c>
    </row>
    <row r="1596" spans="1:17" x14ac:dyDescent="0.3">
      <c r="A1596" s="1" t="str">
        <f t="shared" si="476"/>
        <v>JC</v>
      </c>
      <c r="B1596" s="1" t="str">
        <f>"SONJC20"</f>
        <v>SONJC20</v>
      </c>
      <c r="C1596" s="1" t="str">
        <f>"당낭 종괴"</f>
        <v>당낭 종괴</v>
      </c>
      <c r="D1596" s="1" t="str">
        <f>"복부초음파 검사 결과 담낭에 덩어리(종괴)를 의심케하는 소견이 나타납니다. 정밀검사를 위해 내원하여 상담하시기 바랍니다."</f>
        <v>복부초음파 검사 결과 담낭에 덩어리(종괴)를 의심케하는 소견이 나타납니다. 정밀검사를 위해 내원하여 상담하시기 바랍니다.</v>
      </c>
      <c r="E1596" s="1" t="str">
        <f>""</f>
        <v/>
      </c>
      <c r="F1596" s="1" t="str">
        <f>""</f>
        <v/>
      </c>
      <c r="G1596" s="1" t="str">
        <f>""</f>
        <v/>
      </c>
      <c r="H1596" s="1" t="str">
        <f>""</f>
        <v/>
      </c>
      <c r="I1596" s="1" t="str">
        <f>""</f>
        <v/>
      </c>
      <c r="J1596" s="1" t="str">
        <f>""</f>
        <v/>
      </c>
      <c r="K1596" s="1" t="str">
        <f>""</f>
        <v/>
      </c>
      <c r="L1596" s="1" t="str">
        <f t="shared" si="472"/>
        <v>R</v>
      </c>
      <c r="M1596" s="1" t="str">
        <f>""</f>
        <v/>
      </c>
      <c r="N1596" s="1" t="str">
        <f t="shared" si="473"/>
        <v>Y</v>
      </c>
      <c r="O1596" s="1" t="str">
        <f t="shared" si="477"/>
        <v>Y</v>
      </c>
      <c r="P1596" s="1" t="str">
        <f t="shared" si="474"/>
        <v>Y</v>
      </c>
      <c r="Q1596" s="1" t="str">
        <f t="shared" ref="Q1596:Q1659" si="478">"A"</f>
        <v>A</v>
      </c>
    </row>
    <row r="1597" spans="1:17" x14ac:dyDescent="0.3">
      <c r="A1597" s="1" t="str">
        <f t="shared" si="476"/>
        <v>JC</v>
      </c>
      <c r="B1597" s="1" t="str">
        <f>"SONJC21"</f>
        <v>SONJC21</v>
      </c>
      <c r="C1597" s="1" t="str">
        <f>"췌장 종괴"</f>
        <v>췌장 종괴</v>
      </c>
      <c r="D1597" s="1" t="s">
        <v>479</v>
      </c>
      <c r="E1597" s="1" t="str">
        <f>""</f>
        <v/>
      </c>
      <c r="F1597" s="1" t="str">
        <f>""</f>
        <v/>
      </c>
      <c r="G1597" s="1" t="str">
        <f>""</f>
        <v/>
      </c>
      <c r="H1597" s="1" t="str">
        <f>""</f>
        <v/>
      </c>
      <c r="I1597" s="1" t="str">
        <f>""</f>
        <v/>
      </c>
      <c r="J1597" s="1" t="str">
        <f>""</f>
        <v/>
      </c>
      <c r="K1597" s="1" t="str">
        <f>""</f>
        <v/>
      </c>
      <c r="L1597" s="1" t="str">
        <f t="shared" si="472"/>
        <v>R</v>
      </c>
      <c r="M1597" s="1" t="str">
        <f>""</f>
        <v/>
      </c>
      <c r="N1597" s="1" t="str">
        <f t="shared" si="473"/>
        <v>Y</v>
      </c>
      <c r="O1597" s="1" t="str">
        <f t="shared" si="477"/>
        <v>Y</v>
      </c>
      <c r="P1597" s="1" t="str">
        <f t="shared" si="474"/>
        <v>Y</v>
      </c>
      <c r="Q1597" s="1" t="str">
        <f t="shared" si="478"/>
        <v>A</v>
      </c>
    </row>
    <row r="1598" spans="1:17" x14ac:dyDescent="0.3">
      <c r="A1598" s="1" t="str">
        <f t="shared" si="476"/>
        <v>JC</v>
      </c>
      <c r="B1598" s="1" t="str">
        <f>"SONJC22"</f>
        <v>SONJC22</v>
      </c>
      <c r="C1598" s="1" t="str">
        <f>"신장 종괴"</f>
        <v>신장 종괴</v>
      </c>
      <c r="D1598" s="1" t="str">
        <f>"복부초음파 검사 결과 신장에 덩어리(종괴)를 의심케하는 소견이 나타납니다. 정밀검사를 위해 내원하여 상담하시기 바랍니다."</f>
        <v>복부초음파 검사 결과 신장에 덩어리(종괴)를 의심케하는 소견이 나타납니다. 정밀검사를 위해 내원하여 상담하시기 바랍니다.</v>
      </c>
      <c r="E1598" s="1" t="str">
        <f>""</f>
        <v/>
      </c>
      <c r="F1598" s="1" t="str">
        <f>""</f>
        <v/>
      </c>
      <c r="G1598" s="1" t="str">
        <f>""</f>
        <v/>
      </c>
      <c r="H1598" s="1" t="str">
        <f>""</f>
        <v/>
      </c>
      <c r="I1598" s="1" t="str">
        <f>""</f>
        <v/>
      </c>
      <c r="J1598" s="1" t="str">
        <f>""</f>
        <v/>
      </c>
      <c r="K1598" s="1" t="str">
        <f>""</f>
        <v/>
      </c>
      <c r="L1598" s="1" t="str">
        <f t="shared" si="472"/>
        <v>R</v>
      </c>
      <c r="M1598" s="1" t="str">
        <f>""</f>
        <v/>
      </c>
      <c r="N1598" s="1" t="str">
        <f t="shared" si="473"/>
        <v>Y</v>
      </c>
      <c r="O1598" s="1" t="str">
        <f t="shared" si="477"/>
        <v>Y</v>
      </c>
      <c r="P1598" s="1" t="str">
        <f t="shared" si="474"/>
        <v>Y</v>
      </c>
      <c r="Q1598" s="1" t="str">
        <f t="shared" si="478"/>
        <v>A</v>
      </c>
    </row>
    <row r="1599" spans="1:17" x14ac:dyDescent="0.3">
      <c r="A1599" s="1" t="str">
        <f t="shared" si="476"/>
        <v>JC</v>
      </c>
      <c r="B1599" s="1" t="str">
        <f>"SONJC23"</f>
        <v>SONJC23</v>
      </c>
      <c r="C1599" s="1" t="str">
        <f>"기타 복부 초음파 검사의 이상소견"</f>
        <v>기타 복부 초음파 검사의 이상소견</v>
      </c>
      <c r="D1599" s="1" t="s">
        <v>480</v>
      </c>
      <c r="E1599" s="1" t="str">
        <f>""</f>
        <v/>
      </c>
      <c r="F1599" s="1" t="str">
        <f>""</f>
        <v/>
      </c>
      <c r="G1599" s="1" t="str">
        <f>""</f>
        <v/>
      </c>
      <c r="H1599" s="1" t="str">
        <f>""</f>
        <v/>
      </c>
      <c r="I1599" s="1" t="str">
        <f>""</f>
        <v/>
      </c>
      <c r="J1599" s="1" t="str">
        <f>""</f>
        <v/>
      </c>
      <c r="K1599" s="1" t="str">
        <f>""</f>
        <v/>
      </c>
      <c r="L1599" s="1" t="str">
        <f t="shared" si="472"/>
        <v>R</v>
      </c>
      <c r="M1599" s="1" t="str">
        <f>""</f>
        <v/>
      </c>
      <c r="N1599" s="1" t="str">
        <f t="shared" si="473"/>
        <v>Y</v>
      </c>
      <c r="O1599" s="1" t="str">
        <f t="shared" si="477"/>
        <v>Y</v>
      </c>
      <c r="P1599" s="1" t="str">
        <f t="shared" si="474"/>
        <v>Y</v>
      </c>
      <c r="Q1599" s="1" t="str">
        <f t="shared" si="478"/>
        <v>A</v>
      </c>
    </row>
    <row r="1600" spans="1:17" x14ac:dyDescent="0.3">
      <c r="A1600" s="1" t="str">
        <f t="shared" si="476"/>
        <v>JC</v>
      </c>
      <c r="B1600" s="1" t="str">
        <f>"SONJC24"</f>
        <v>SONJC24</v>
      </c>
      <c r="C1600" s="1" t="str">
        <f>"총담관 낭종"</f>
        <v>총담관 낭종</v>
      </c>
      <c r="D1600" s="1" t="str">
        <f>"복부 초음파검사 결과 총 담관에 낭종이 관찰되었습니다. 정확한 진단 및 치료계획을 위하여 내과 전문의 상담을 하시기 바랍니다."</f>
        <v>복부 초음파검사 결과 총 담관에 낭종이 관찰되었습니다. 정확한 진단 및 치료계획을 위하여 내과 전문의 상담을 하시기 바랍니다.</v>
      </c>
      <c r="E1600" s="1" t="str">
        <f>""</f>
        <v/>
      </c>
      <c r="F1600" s="1" t="str">
        <f>""</f>
        <v/>
      </c>
      <c r="G1600" s="1" t="str">
        <f>""</f>
        <v/>
      </c>
      <c r="H1600" s="1" t="str">
        <f>""</f>
        <v/>
      </c>
      <c r="I1600" s="1" t="str">
        <f>""</f>
        <v/>
      </c>
      <c r="J1600" s="1" t="str">
        <f>""</f>
        <v/>
      </c>
      <c r="K1600" s="1" t="str">
        <f>""</f>
        <v/>
      </c>
      <c r="L1600" s="1" t="str">
        <f t="shared" si="472"/>
        <v>R</v>
      </c>
      <c r="M1600" s="1" t="str">
        <f>""</f>
        <v/>
      </c>
      <c r="N1600" s="1" t="str">
        <f t="shared" si="473"/>
        <v>Y</v>
      </c>
      <c r="O1600" s="1" t="str">
        <f t="shared" si="477"/>
        <v>Y</v>
      </c>
      <c r="P1600" s="1" t="str">
        <f t="shared" si="474"/>
        <v>Y</v>
      </c>
      <c r="Q1600" s="1" t="str">
        <f t="shared" si="478"/>
        <v>A</v>
      </c>
    </row>
    <row r="1601" spans="1:17" x14ac:dyDescent="0.3">
      <c r="A1601" s="1" t="str">
        <f t="shared" si="476"/>
        <v>JC</v>
      </c>
      <c r="B1601" s="1" t="str">
        <f>"SONJC25"</f>
        <v>SONJC25</v>
      </c>
      <c r="C1601" s="1" t="str">
        <f>"수신증"</f>
        <v>수신증</v>
      </c>
      <c r="D1601" s="1" t="str">
        <f>"복부 초음파검사 결과 신장의 수신증이 의심됩니다. 수신증은 신장 및 요로의 이상으로 인하여 신장에 물이 고이는 것을 말합니다. 이번 초음파검사 결과만으로는 단정하기 어려우므로 정기적인 검사를 통해 변화를 관찰하시기 바랍니다."</f>
        <v>복부 초음파검사 결과 신장의 수신증이 의심됩니다. 수신증은 신장 및 요로의 이상으로 인하여 신장에 물이 고이는 것을 말합니다. 이번 초음파검사 결과만으로는 단정하기 어려우므로 정기적인 검사를 통해 변화를 관찰하시기 바랍니다.</v>
      </c>
      <c r="E1601" s="1" t="str">
        <f>""</f>
        <v/>
      </c>
      <c r="F1601" s="1" t="str">
        <f>""</f>
        <v/>
      </c>
      <c r="G1601" s="1" t="str">
        <f>""</f>
        <v/>
      </c>
      <c r="H1601" s="1" t="str">
        <f>""</f>
        <v/>
      </c>
      <c r="I1601" s="1" t="str">
        <f>""</f>
        <v/>
      </c>
      <c r="J1601" s="1" t="str">
        <f>""</f>
        <v/>
      </c>
      <c r="K1601" s="1" t="str">
        <f>""</f>
        <v/>
      </c>
      <c r="L1601" s="1" t="str">
        <f t="shared" si="472"/>
        <v>R</v>
      </c>
      <c r="M1601" s="1" t="str">
        <f>""</f>
        <v/>
      </c>
      <c r="N1601" s="1" t="str">
        <f t="shared" si="473"/>
        <v>Y</v>
      </c>
      <c r="O1601" s="1" t="str">
        <f t="shared" si="477"/>
        <v>Y</v>
      </c>
      <c r="P1601" s="1" t="str">
        <f t="shared" si="474"/>
        <v>Y</v>
      </c>
      <c r="Q1601" s="1" t="str">
        <f t="shared" si="478"/>
        <v>A</v>
      </c>
    </row>
    <row r="1602" spans="1:17" x14ac:dyDescent="0.3">
      <c r="A1602" s="1" t="str">
        <f t="shared" si="476"/>
        <v>JC</v>
      </c>
      <c r="B1602" s="1" t="str">
        <f>"SYPJC01"</f>
        <v>SYPJC01</v>
      </c>
      <c r="C1602" s="1" t="str">
        <f>"매독침강반응 양성"</f>
        <v>매독침강반응 양성</v>
      </c>
      <c r="D1602" s="1" t="str">
        <f>"매독반응검사 결과 양성반응이 나타납니다. 내원하시어 상담 및 진료를 받아보시기 바랍니다."</f>
        <v>매독반응검사 결과 양성반응이 나타납니다. 내원하시어 상담 및 진료를 받아보시기 바랍니다.</v>
      </c>
      <c r="E1602" s="1" t="str">
        <f>""</f>
        <v/>
      </c>
      <c r="F1602" s="1" t="str">
        <f>""</f>
        <v/>
      </c>
      <c r="G1602" s="1" t="str">
        <f>""</f>
        <v/>
      </c>
      <c r="H1602" s="1" t="str">
        <f>""</f>
        <v/>
      </c>
      <c r="I1602" s="1" t="str">
        <f>""</f>
        <v/>
      </c>
      <c r="J1602" s="1" t="str">
        <f>""</f>
        <v/>
      </c>
      <c r="K1602" s="1" t="str">
        <f>""</f>
        <v/>
      </c>
      <c r="L1602" s="1" t="str">
        <f t="shared" si="472"/>
        <v>R</v>
      </c>
      <c r="M1602" s="1" t="str">
        <f>""</f>
        <v/>
      </c>
      <c r="N1602" s="1" t="str">
        <f t="shared" si="473"/>
        <v>Y</v>
      </c>
      <c r="O1602" s="1" t="str">
        <f t="shared" si="477"/>
        <v>Y</v>
      </c>
      <c r="P1602" s="1" t="str">
        <f t="shared" si="474"/>
        <v>Y</v>
      </c>
      <c r="Q1602" s="1" t="str">
        <f t="shared" si="478"/>
        <v>A</v>
      </c>
    </row>
    <row r="1603" spans="1:17" x14ac:dyDescent="0.3">
      <c r="A1603" s="1" t="str">
        <f t="shared" si="476"/>
        <v>JC</v>
      </c>
      <c r="B1603" s="1" t="str">
        <f>"T3HJC01"</f>
        <v>T3HJC01</v>
      </c>
      <c r="C1603" s="1" t="str">
        <f>"T3 감소"</f>
        <v>T3 감소</v>
      </c>
      <c r="D1603" s="1" t="str">
        <f>"갑상선기능 검사상 갑상선호르몬(T3)이 약간 감소하여 있습니다. 일시적인 현상일 가능성도 있으므로 3개월 후 다시 검사를 받으시고 종합적 판단을 받으시기 바랍니다."</f>
        <v>갑상선기능 검사상 갑상선호르몬(T3)이 약간 감소하여 있습니다. 일시적인 현상일 가능성도 있으므로 3개월 후 다시 검사를 받으시고 종합적 판단을 받으시기 바랍니다.</v>
      </c>
      <c r="E1603" s="1" t="str">
        <f>""</f>
        <v/>
      </c>
      <c r="F1603" s="1" t="str">
        <f>""</f>
        <v/>
      </c>
      <c r="G1603" s="1" t="str">
        <f>""</f>
        <v/>
      </c>
      <c r="H1603" s="1" t="str">
        <f>""</f>
        <v/>
      </c>
      <c r="I1603" s="1" t="str">
        <f>""</f>
        <v/>
      </c>
      <c r="J1603" s="1" t="str">
        <f>""</f>
        <v/>
      </c>
      <c r="K1603" s="1" t="str">
        <f>""</f>
        <v/>
      </c>
      <c r="L1603" s="1" t="str">
        <f t="shared" si="472"/>
        <v>R</v>
      </c>
      <c r="M1603" s="1" t="str">
        <f>""</f>
        <v/>
      </c>
      <c r="N1603" s="1" t="str">
        <f t="shared" si="473"/>
        <v>Y</v>
      </c>
      <c r="O1603" s="1" t="str">
        <f t="shared" si="477"/>
        <v>Y</v>
      </c>
      <c r="P1603" s="1" t="str">
        <f t="shared" si="474"/>
        <v>Y</v>
      </c>
      <c r="Q1603" s="1" t="str">
        <f t="shared" si="478"/>
        <v>A</v>
      </c>
    </row>
    <row r="1604" spans="1:17" x14ac:dyDescent="0.3">
      <c r="A1604" s="1" t="str">
        <f t="shared" si="476"/>
        <v>JC</v>
      </c>
      <c r="B1604" s="1" t="str">
        <f>"T3HJC02"</f>
        <v>T3HJC02</v>
      </c>
      <c r="C1604" s="1" t="str">
        <f>"T3 증가"</f>
        <v>T3 증가</v>
      </c>
      <c r="D1604" s="1" t="str">
        <f>"갑상선기능 검사상 갑상선호르몬(T3)이 약간 증가하여 있습니다. 일시적인 현상일 가능성도 있으므로 3개월 후 다시 검사를 받으시고 종합적 판단을 받으시기 바랍니다."</f>
        <v>갑상선기능 검사상 갑상선호르몬(T3)이 약간 증가하여 있습니다. 일시적인 현상일 가능성도 있으므로 3개월 후 다시 검사를 받으시고 종합적 판단을 받으시기 바랍니다.</v>
      </c>
      <c r="E1604" s="1" t="str">
        <f>""</f>
        <v/>
      </c>
      <c r="F1604" s="1" t="str">
        <f>""</f>
        <v/>
      </c>
      <c r="G1604" s="1" t="str">
        <f>""</f>
        <v/>
      </c>
      <c r="H1604" s="1" t="str">
        <f>""</f>
        <v/>
      </c>
      <c r="I1604" s="1" t="str">
        <f>""</f>
        <v/>
      </c>
      <c r="J1604" s="1" t="str">
        <f>""</f>
        <v/>
      </c>
      <c r="K1604" s="1" t="str">
        <f>""</f>
        <v/>
      </c>
      <c r="L1604" s="1" t="str">
        <f t="shared" si="472"/>
        <v>R</v>
      </c>
      <c r="M1604" s="1" t="str">
        <f>""</f>
        <v/>
      </c>
      <c r="N1604" s="1" t="str">
        <f t="shared" si="473"/>
        <v>Y</v>
      </c>
      <c r="O1604" s="1" t="str">
        <f t="shared" si="477"/>
        <v>Y</v>
      </c>
      <c r="P1604" s="1" t="str">
        <f t="shared" si="474"/>
        <v>Y</v>
      </c>
      <c r="Q1604" s="1" t="str">
        <f t="shared" si="478"/>
        <v>A</v>
      </c>
    </row>
    <row r="1605" spans="1:17" x14ac:dyDescent="0.3">
      <c r="A1605" s="1" t="str">
        <f t="shared" si="476"/>
        <v>JC</v>
      </c>
      <c r="B1605" s="1" t="str">
        <f>"T4HJC01"</f>
        <v>T4HJC01</v>
      </c>
      <c r="C1605" s="1" t="str">
        <f>"T4 감소"</f>
        <v>T4 감소</v>
      </c>
      <c r="D1605" s="1" t="str">
        <f>"갑상선기능 검사상 갑상선호르몬(Free T4)이 약간 감소하여 있습니다. 일시적인 현상일 가능성도 있으므로 3개월 후 다시 검사를 받으시고 종합적 판단을 받으시기 바랍니다."</f>
        <v>갑상선기능 검사상 갑상선호르몬(Free T4)이 약간 감소하여 있습니다. 일시적인 현상일 가능성도 있으므로 3개월 후 다시 검사를 받으시고 종합적 판단을 받으시기 바랍니다.</v>
      </c>
      <c r="E1605" s="1" t="str">
        <f>""</f>
        <v/>
      </c>
      <c r="F1605" s="1" t="str">
        <f>""</f>
        <v/>
      </c>
      <c r="G1605" s="1" t="str">
        <f>""</f>
        <v/>
      </c>
      <c r="H1605" s="1" t="str">
        <f>""</f>
        <v/>
      </c>
      <c r="I1605" s="1" t="str">
        <f>""</f>
        <v/>
      </c>
      <c r="J1605" s="1" t="str">
        <f>""</f>
        <v/>
      </c>
      <c r="K1605" s="1" t="str">
        <f>""</f>
        <v/>
      </c>
      <c r="L1605" s="1" t="str">
        <f t="shared" ref="L1605:L1668" si="479">"R"</f>
        <v>R</v>
      </c>
      <c r="M1605" s="1" t="str">
        <f>""</f>
        <v/>
      </c>
      <c r="N1605" s="1" t="str">
        <f t="shared" ref="N1605:N1668" si="480">"Y"</f>
        <v>Y</v>
      </c>
      <c r="O1605" s="1" t="str">
        <f t="shared" si="477"/>
        <v>Y</v>
      </c>
      <c r="P1605" s="1" t="str">
        <f t="shared" si="474"/>
        <v>Y</v>
      </c>
      <c r="Q1605" s="1" t="str">
        <f t="shared" si="478"/>
        <v>A</v>
      </c>
    </row>
    <row r="1606" spans="1:17" x14ac:dyDescent="0.3">
      <c r="A1606" s="1" t="str">
        <f t="shared" si="476"/>
        <v>JC</v>
      </c>
      <c r="B1606" s="1" t="str">
        <f>"T4HJC02"</f>
        <v>T4HJC02</v>
      </c>
      <c r="C1606" s="1" t="str">
        <f>"T4 증가"</f>
        <v>T4 증가</v>
      </c>
      <c r="D1606" s="1" t="str">
        <f>"갑상선기능 검사상 갑상선호르몬(Free T4)이 약간 증가하여 있습니다. 일시적인 현상일 가능성도 있으므로 3개월 후 다시 검사를 받으시고 종합적 판단을 받으시기 바랍니다."</f>
        <v>갑상선기능 검사상 갑상선호르몬(Free T4)이 약간 증가하여 있습니다. 일시적인 현상일 가능성도 있으므로 3개월 후 다시 검사를 받으시고 종합적 판단을 받으시기 바랍니다.</v>
      </c>
      <c r="E1606" s="1" t="str">
        <f>""</f>
        <v/>
      </c>
      <c r="F1606" s="1" t="str">
        <f>""</f>
        <v/>
      </c>
      <c r="G1606" s="1" t="str">
        <f>""</f>
        <v/>
      </c>
      <c r="H1606" s="1" t="str">
        <f>""</f>
        <v/>
      </c>
      <c r="I1606" s="1" t="str">
        <f>""</f>
        <v/>
      </c>
      <c r="J1606" s="1" t="str">
        <f>""</f>
        <v/>
      </c>
      <c r="K1606" s="1" t="str">
        <f>""</f>
        <v/>
      </c>
      <c r="L1606" s="1" t="str">
        <f t="shared" si="479"/>
        <v>R</v>
      </c>
      <c r="M1606" s="1" t="str">
        <f>""</f>
        <v/>
      </c>
      <c r="N1606" s="1" t="str">
        <f t="shared" si="480"/>
        <v>Y</v>
      </c>
      <c r="O1606" s="1" t="str">
        <f t="shared" si="477"/>
        <v>Y</v>
      </c>
      <c r="P1606" s="1" t="str">
        <f t="shared" si="474"/>
        <v>Y</v>
      </c>
      <c r="Q1606" s="1" t="str">
        <f t="shared" si="478"/>
        <v>A</v>
      </c>
    </row>
    <row r="1607" spans="1:17" x14ac:dyDescent="0.3">
      <c r="A1607" s="1" t="str">
        <f t="shared" si="476"/>
        <v>JC</v>
      </c>
      <c r="B1607" s="1" t="str">
        <f>"TBIJC01"</f>
        <v>TBIJC01</v>
      </c>
      <c r="C1607" s="1" t="str">
        <f>"혈중빌리루빈 증가"</f>
        <v>혈중빌리루빈 증가</v>
      </c>
      <c r="D1607" s="1" t="s">
        <v>481</v>
      </c>
      <c r="E1607" s="1" t="str">
        <f>""</f>
        <v/>
      </c>
      <c r="F1607" s="1" t="str">
        <f>""</f>
        <v/>
      </c>
      <c r="G1607" s="1" t="str">
        <f>""</f>
        <v/>
      </c>
      <c r="H1607" s="1" t="str">
        <f>""</f>
        <v/>
      </c>
      <c r="I1607" s="1" t="str">
        <f>""</f>
        <v/>
      </c>
      <c r="J1607" s="1" t="str">
        <f>""</f>
        <v/>
      </c>
      <c r="K1607" s="1" t="str">
        <f>""</f>
        <v/>
      </c>
      <c r="L1607" s="1" t="str">
        <f t="shared" si="479"/>
        <v>R</v>
      </c>
      <c r="M1607" s="1" t="str">
        <f>""</f>
        <v/>
      </c>
      <c r="N1607" s="1" t="str">
        <f t="shared" si="480"/>
        <v>Y</v>
      </c>
      <c r="O1607" s="1" t="str">
        <f t="shared" si="477"/>
        <v>Y</v>
      </c>
      <c r="P1607" s="1" t="str">
        <f t="shared" si="474"/>
        <v>Y</v>
      </c>
      <c r="Q1607" s="1" t="str">
        <f t="shared" si="478"/>
        <v>A</v>
      </c>
    </row>
    <row r="1608" spans="1:17" x14ac:dyDescent="0.3">
      <c r="A1608" s="1" t="str">
        <f t="shared" si="476"/>
        <v>JC</v>
      </c>
      <c r="B1608" s="1" t="str">
        <f>"THYJC01"</f>
        <v>THYJC01</v>
      </c>
      <c r="C1608" s="1" t="str">
        <f>"1cm이상 갑상선 결절"</f>
        <v>1cm이상 갑상선 결절</v>
      </c>
      <c r="D1608" s="1" t="str">
        <f>"갑상선에 결절(혹)이 보입니다. 크기가 1cm보다 큰경우에는 기능성결절 또는 악성여부를 확인하기 위하여 추가검사가 필요할수 있습니다. 내원하시거나 내분비내과 상담바랍니다."</f>
        <v>갑상선에 결절(혹)이 보입니다. 크기가 1cm보다 큰경우에는 기능성결절 또는 악성여부를 확인하기 위하여 추가검사가 필요할수 있습니다. 내원하시거나 내분비내과 상담바랍니다.</v>
      </c>
      <c r="E1608" s="1" t="str">
        <f>""</f>
        <v/>
      </c>
      <c r="F1608" s="1" t="str">
        <f>""</f>
        <v/>
      </c>
      <c r="G1608" s="1" t="str">
        <f>""</f>
        <v/>
      </c>
      <c r="H1608" s="1" t="str">
        <f>""</f>
        <v/>
      </c>
      <c r="I1608" s="1" t="str">
        <f>""</f>
        <v/>
      </c>
      <c r="J1608" s="1" t="str">
        <f>""</f>
        <v/>
      </c>
      <c r="K1608" s="1" t="str">
        <f>""</f>
        <v/>
      </c>
      <c r="L1608" s="1" t="str">
        <f t="shared" si="479"/>
        <v>R</v>
      </c>
      <c r="M1608" s="1" t="str">
        <f>""</f>
        <v/>
      </c>
      <c r="N1608" s="1" t="str">
        <f t="shared" si="480"/>
        <v>Y</v>
      </c>
      <c r="O1608" s="1" t="str">
        <f t="shared" si="477"/>
        <v>Y</v>
      </c>
      <c r="P1608" s="1" t="str">
        <f t="shared" si="474"/>
        <v>Y</v>
      </c>
      <c r="Q1608" s="1" t="str">
        <f t="shared" si="478"/>
        <v>A</v>
      </c>
    </row>
    <row r="1609" spans="1:17" x14ac:dyDescent="0.3">
      <c r="A1609" s="1" t="str">
        <f t="shared" si="476"/>
        <v>JC</v>
      </c>
      <c r="B1609" s="1" t="str">
        <f>"THYJC02"</f>
        <v>THYJC02</v>
      </c>
      <c r="C1609" s="1" t="str">
        <f>"1cm이상 갑상선 낭종"</f>
        <v>1cm이상 갑상선 낭종</v>
      </c>
      <c r="D1609" s="1" t="s">
        <v>482</v>
      </c>
      <c r="E1609" s="1" t="str">
        <f>""</f>
        <v/>
      </c>
      <c r="F1609" s="1" t="str">
        <f>""</f>
        <v/>
      </c>
      <c r="G1609" s="1" t="str">
        <f>""</f>
        <v/>
      </c>
      <c r="H1609" s="1" t="str">
        <f>""</f>
        <v/>
      </c>
      <c r="I1609" s="1" t="str">
        <f>""</f>
        <v/>
      </c>
      <c r="J1609" s="1" t="str">
        <f>""</f>
        <v/>
      </c>
      <c r="K1609" s="1" t="str">
        <f>""</f>
        <v/>
      </c>
      <c r="L1609" s="1" t="str">
        <f t="shared" si="479"/>
        <v>R</v>
      </c>
      <c r="M1609" s="1" t="str">
        <f>""</f>
        <v/>
      </c>
      <c r="N1609" s="1" t="str">
        <f t="shared" si="480"/>
        <v>Y</v>
      </c>
      <c r="O1609" s="1" t="str">
        <f t="shared" si="477"/>
        <v>Y</v>
      </c>
      <c r="P1609" s="1" t="str">
        <f t="shared" si="474"/>
        <v>Y</v>
      </c>
      <c r="Q1609" s="1" t="str">
        <f t="shared" si="478"/>
        <v>A</v>
      </c>
    </row>
    <row r="1610" spans="1:17" x14ac:dyDescent="0.3">
      <c r="A1610" s="1" t="str">
        <f t="shared" si="476"/>
        <v>JC</v>
      </c>
      <c r="B1610" s="1" t="str">
        <f>"THYJC03"</f>
        <v>THYJC03</v>
      </c>
      <c r="C1610" s="1" t="str">
        <f>"섬유선종"</f>
        <v>섬유선종</v>
      </c>
      <c r="D1610" s="1" t="str">
        <f>"갑상선에 혹이 보이는데 섬유선종일 가능성이 높습니다. 섬유선종은 이자체가 악성종양은 아니지만 조직검사 또는 추가적인 갑상선검사가 필요할수 있습니다. 내분비내과전문의와 상의해보시기를 권합니다."</f>
        <v>갑상선에 혹이 보이는데 섬유선종일 가능성이 높습니다. 섬유선종은 이자체가 악성종양은 아니지만 조직검사 또는 추가적인 갑상선검사가 필요할수 있습니다. 내분비내과전문의와 상의해보시기를 권합니다.</v>
      </c>
      <c r="E1610" s="1" t="str">
        <f>""</f>
        <v/>
      </c>
      <c r="F1610" s="1" t="str">
        <f>""</f>
        <v/>
      </c>
      <c r="G1610" s="1" t="str">
        <f>""</f>
        <v/>
      </c>
      <c r="H1610" s="1" t="str">
        <f>""</f>
        <v/>
      </c>
      <c r="I1610" s="1" t="str">
        <f>""</f>
        <v/>
      </c>
      <c r="J1610" s="1" t="str">
        <f>""</f>
        <v/>
      </c>
      <c r="K1610" s="1" t="str">
        <f>""</f>
        <v/>
      </c>
      <c r="L1610" s="1" t="str">
        <f t="shared" si="479"/>
        <v>R</v>
      </c>
      <c r="M1610" s="1" t="str">
        <f>""</f>
        <v/>
      </c>
      <c r="N1610" s="1" t="str">
        <f t="shared" si="480"/>
        <v>Y</v>
      </c>
      <c r="O1610" s="1" t="str">
        <f t="shared" si="477"/>
        <v>Y</v>
      </c>
      <c r="P1610" s="1" t="str">
        <f t="shared" ref="P1610:P1673" si="481">"Y"</f>
        <v>Y</v>
      </c>
      <c r="Q1610" s="1" t="str">
        <f t="shared" si="478"/>
        <v>A</v>
      </c>
    </row>
    <row r="1611" spans="1:17" x14ac:dyDescent="0.3">
      <c r="A1611" s="1" t="str">
        <f t="shared" si="476"/>
        <v>JC</v>
      </c>
      <c r="B1611" s="1" t="str">
        <f>"THYJC04"</f>
        <v>THYJC04</v>
      </c>
      <c r="C1611" s="1" t="str">
        <f>"갑상선전절제"</f>
        <v>갑상선전절제</v>
      </c>
      <c r="D1611" s="1" t="s">
        <v>483</v>
      </c>
      <c r="E1611" s="1" t="str">
        <f>""</f>
        <v/>
      </c>
      <c r="F1611" s="1" t="str">
        <f>""</f>
        <v/>
      </c>
      <c r="G1611" s="1" t="str">
        <f>""</f>
        <v/>
      </c>
      <c r="H1611" s="1" t="str">
        <f>""</f>
        <v/>
      </c>
      <c r="I1611" s="1" t="str">
        <f>""</f>
        <v/>
      </c>
      <c r="J1611" s="1" t="str">
        <f>""</f>
        <v/>
      </c>
      <c r="K1611" s="1" t="str">
        <f>""</f>
        <v/>
      </c>
      <c r="L1611" s="1" t="str">
        <f t="shared" si="479"/>
        <v>R</v>
      </c>
      <c r="M1611" s="1" t="str">
        <f>""</f>
        <v/>
      </c>
      <c r="N1611" s="1" t="str">
        <f t="shared" si="480"/>
        <v>Y</v>
      </c>
      <c r="O1611" s="1" t="str">
        <f t="shared" si="477"/>
        <v>Y</v>
      </c>
      <c r="P1611" s="1" t="str">
        <f t="shared" si="481"/>
        <v>Y</v>
      </c>
      <c r="Q1611" s="1" t="str">
        <f t="shared" si="478"/>
        <v>A</v>
      </c>
    </row>
    <row r="1612" spans="1:17" x14ac:dyDescent="0.3">
      <c r="A1612" s="1" t="str">
        <f t="shared" si="476"/>
        <v>JC</v>
      </c>
      <c r="B1612" s="1" t="str">
        <f>"THYJC05"</f>
        <v>THYJC05</v>
      </c>
      <c r="C1612" s="1" t="str">
        <f>"갑상선부분절제"</f>
        <v>갑상선부분절제</v>
      </c>
      <c r="D1612" s="1" t="s">
        <v>484</v>
      </c>
      <c r="E1612" s="1" t="str">
        <f>""</f>
        <v/>
      </c>
      <c r="F1612" s="1" t="str">
        <f>""</f>
        <v/>
      </c>
      <c r="G1612" s="1" t="str">
        <f>""</f>
        <v/>
      </c>
      <c r="H1612" s="1" t="str">
        <f>""</f>
        <v/>
      </c>
      <c r="I1612" s="1" t="str">
        <f>""</f>
        <v/>
      </c>
      <c r="J1612" s="1" t="str">
        <f>""</f>
        <v/>
      </c>
      <c r="K1612" s="1" t="str">
        <f>""</f>
        <v/>
      </c>
      <c r="L1612" s="1" t="str">
        <f t="shared" si="479"/>
        <v>R</v>
      </c>
      <c r="M1612" s="1" t="str">
        <f>""</f>
        <v/>
      </c>
      <c r="N1612" s="1" t="str">
        <f t="shared" si="480"/>
        <v>Y</v>
      </c>
      <c r="O1612" s="1" t="str">
        <f t="shared" si="477"/>
        <v>Y</v>
      </c>
      <c r="P1612" s="1" t="str">
        <f t="shared" si="481"/>
        <v>Y</v>
      </c>
      <c r="Q1612" s="1" t="str">
        <f t="shared" si="478"/>
        <v>A</v>
      </c>
    </row>
    <row r="1613" spans="1:17" x14ac:dyDescent="0.3">
      <c r="A1613" s="1" t="str">
        <f t="shared" si="476"/>
        <v>JC</v>
      </c>
      <c r="B1613" s="1" t="str">
        <f>"THYJC06"</f>
        <v>THYJC06</v>
      </c>
      <c r="C1613" s="1" t="str">
        <f>"갑상선기능저하증"</f>
        <v>갑상선기능저하증</v>
      </c>
      <c r="D1613" s="1" t="str">
        <f>"갑상선 초음파결과 갑상선기능저하증이 있을때 보이는 소견이 관찰되어 갑상선기능저하증이 의심됩니다. 내원상담 또는 내분비내과전문의와 상담하시기 바랍니다."</f>
        <v>갑상선 초음파결과 갑상선기능저하증이 있을때 보이는 소견이 관찰되어 갑상선기능저하증이 의심됩니다. 내원상담 또는 내분비내과전문의와 상담하시기 바랍니다.</v>
      </c>
      <c r="E1613" s="1" t="str">
        <f>""</f>
        <v/>
      </c>
      <c r="F1613" s="1" t="str">
        <f>""</f>
        <v/>
      </c>
      <c r="G1613" s="1" t="str">
        <f>""</f>
        <v/>
      </c>
      <c r="H1613" s="1" t="str">
        <f>""</f>
        <v/>
      </c>
      <c r="I1613" s="1" t="str">
        <f>""</f>
        <v/>
      </c>
      <c r="J1613" s="1" t="str">
        <f>""</f>
        <v/>
      </c>
      <c r="K1613" s="1" t="str">
        <f>""</f>
        <v/>
      </c>
      <c r="L1613" s="1" t="str">
        <f t="shared" si="479"/>
        <v>R</v>
      </c>
      <c r="M1613" s="1" t="str">
        <f>""</f>
        <v/>
      </c>
      <c r="N1613" s="1" t="str">
        <f t="shared" si="480"/>
        <v>Y</v>
      </c>
      <c r="O1613" s="1" t="str">
        <f t="shared" si="477"/>
        <v>Y</v>
      </c>
      <c r="P1613" s="1" t="str">
        <f t="shared" si="481"/>
        <v>Y</v>
      </c>
      <c r="Q1613" s="1" t="str">
        <f t="shared" si="478"/>
        <v>A</v>
      </c>
    </row>
    <row r="1614" spans="1:17" x14ac:dyDescent="0.3">
      <c r="A1614" s="1" t="str">
        <f t="shared" si="476"/>
        <v>JC</v>
      </c>
      <c r="B1614" s="1" t="str">
        <f>"THYJC07"</f>
        <v>THYJC07</v>
      </c>
      <c r="C1614" s="1" t="str">
        <f>"감상선비대"</f>
        <v>감상선비대</v>
      </c>
      <c r="D1614" s="1" t="str">
        <f>"갑상선 초음파 결과 갑상선의 크기가 커보입니다. 다발성결절을 동반한 갑상선비대의 경우에는 드물지만 악성일 경우도 있습니다(약 5%미만). 추가적인 검사가 필요할수 있으므로 내분비내과전문의와 상의해보시기를 권합니다."</f>
        <v>갑상선 초음파 결과 갑상선의 크기가 커보입니다. 다발성결절을 동반한 갑상선비대의 경우에는 드물지만 악성일 경우도 있습니다(약 5%미만). 추가적인 검사가 필요할수 있으므로 내분비내과전문의와 상의해보시기를 권합니다.</v>
      </c>
      <c r="E1614" s="1" t="str">
        <f>""</f>
        <v/>
      </c>
      <c r="F1614" s="1" t="str">
        <f>""</f>
        <v/>
      </c>
      <c r="G1614" s="1" t="str">
        <f>""</f>
        <v/>
      </c>
      <c r="H1614" s="1" t="str">
        <f>""</f>
        <v/>
      </c>
      <c r="I1614" s="1" t="str">
        <f>""</f>
        <v/>
      </c>
      <c r="J1614" s="1" t="str">
        <f>""</f>
        <v/>
      </c>
      <c r="K1614" s="1" t="str">
        <f>""</f>
        <v/>
      </c>
      <c r="L1614" s="1" t="str">
        <f t="shared" si="479"/>
        <v>R</v>
      </c>
      <c r="M1614" s="1" t="str">
        <f>""</f>
        <v/>
      </c>
      <c r="N1614" s="1" t="str">
        <f t="shared" si="480"/>
        <v>Y</v>
      </c>
      <c r="O1614" s="1" t="str">
        <f t="shared" si="477"/>
        <v>Y</v>
      </c>
      <c r="P1614" s="1" t="str">
        <f t="shared" si="481"/>
        <v>Y</v>
      </c>
      <c r="Q1614" s="1" t="str">
        <f t="shared" si="478"/>
        <v>A</v>
      </c>
    </row>
    <row r="1615" spans="1:17" x14ac:dyDescent="0.3">
      <c r="A1615" s="1" t="str">
        <f t="shared" si="476"/>
        <v>JC</v>
      </c>
      <c r="B1615" s="1" t="str">
        <f>"THYJC08"</f>
        <v>THYJC08</v>
      </c>
      <c r="C1615" s="1" t="str">
        <f>"갑상선위축"</f>
        <v>갑상선위축</v>
      </c>
      <c r="D1615" s="1" t="s">
        <v>485</v>
      </c>
      <c r="E1615" s="1" t="str">
        <f>""</f>
        <v/>
      </c>
      <c r="F1615" s="1" t="str">
        <f>""</f>
        <v/>
      </c>
      <c r="G1615" s="1" t="str">
        <f>""</f>
        <v/>
      </c>
      <c r="H1615" s="1" t="str">
        <f>""</f>
        <v/>
      </c>
      <c r="I1615" s="1" t="str">
        <f>""</f>
        <v/>
      </c>
      <c r="J1615" s="1" t="str">
        <f>""</f>
        <v/>
      </c>
      <c r="K1615" s="1" t="str">
        <f>""</f>
        <v/>
      </c>
      <c r="L1615" s="1" t="str">
        <f t="shared" si="479"/>
        <v>R</v>
      </c>
      <c r="M1615" s="1" t="str">
        <f>""</f>
        <v/>
      </c>
      <c r="N1615" s="1" t="str">
        <f t="shared" si="480"/>
        <v>Y</v>
      </c>
      <c r="O1615" s="1" t="str">
        <f t="shared" si="477"/>
        <v>Y</v>
      </c>
      <c r="P1615" s="1" t="str">
        <f t="shared" si="481"/>
        <v>Y</v>
      </c>
      <c r="Q1615" s="1" t="str">
        <f t="shared" si="478"/>
        <v>A</v>
      </c>
    </row>
    <row r="1616" spans="1:17" x14ac:dyDescent="0.3">
      <c r="A1616" s="1" t="str">
        <f t="shared" si="476"/>
        <v>JC</v>
      </c>
      <c r="B1616" s="1" t="str">
        <f>"THYJC09"</f>
        <v>THYJC09</v>
      </c>
      <c r="C1616" s="1" t="str">
        <f>"갑상선염"</f>
        <v>갑상선염</v>
      </c>
      <c r="D1616" s="1" t="str">
        <f>"갑상선 초음파결과상 갑상선염이 의심됩니다. 통증이 심하다면 급성 및 아급성갑상선염이 의심되므로 내분비내과전문의의 진료를 받는것이 필요합니다."</f>
        <v>갑상선 초음파결과상 갑상선염이 의심됩니다. 통증이 심하다면 급성 및 아급성갑상선염이 의심되므로 내분비내과전문의의 진료를 받는것이 필요합니다.</v>
      </c>
      <c r="E1616" s="1" t="str">
        <f>""</f>
        <v/>
      </c>
      <c r="F1616" s="1" t="str">
        <f>""</f>
        <v/>
      </c>
      <c r="G1616" s="1" t="str">
        <f>""</f>
        <v/>
      </c>
      <c r="H1616" s="1" t="str">
        <f>""</f>
        <v/>
      </c>
      <c r="I1616" s="1" t="str">
        <f>""</f>
        <v/>
      </c>
      <c r="J1616" s="1" t="str">
        <f>""</f>
        <v/>
      </c>
      <c r="K1616" s="1" t="str">
        <f>""</f>
        <v/>
      </c>
      <c r="L1616" s="1" t="str">
        <f t="shared" si="479"/>
        <v>R</v>
      </c>
      <c r="M1616" s="1" t="str">
        <f>""</f>
        <v/>
      </c>
      <c r="N1616" s="1" t="str">
        <f t="shared" si="480"/>
        <v>Y</v>
      </c>
      <c r="O1616" s="1" t="str">
        <f t="shared" si="477"/>
        <v>Y</v>
      </c>
      <c r="P1616" s="1" t="str">
        <f t="shared" si="481"/>
        <v>Y</v>
      </c>
      <c r="Q1616" s="1" t="str">
        <f t="shared" si="478"/>
        <v>A</v>
      </c>
    </row>
    <row r="1617" spans="1:17" x14ac:dyDescent="0.3">
      <c r="A1617" s="1" t="str">
        <f t="shared" si="476"/>
        <v>JC</v>
      </c>
      <c r="B1617" s="1" t="str">
        <f>"THYJC10"</f>
        <v>THYJC10</v>
      </c>
      <c r="C1617" s="1" t="str">
        <f>"갑상선 선종의심"</f>
        <v>갑상선 선종의심</v>
      </c>
      <c r="D1617" s="1" t="s">
        <v>486</v>
      </c>
      <c r="E1617" s="1" t="str">
        <f>""</f>
        <v/>
      </c>
      <c r="F1617" s="1" t="str">
        <f>""</f>
        <v/>
      </c>
      <c r="G1617" s="1" t="str">
        <f>""</f>
        <v/>
      </c>
      <c r="H1617" s="1" t="str">
        <f>""</f>
        <v/>
      </c>
      <c r="I1617" s="1" t="str">
        <f>""</f>
        <v/>
      </c>
      <c r="J1617" s="1" t="str">
        <f>""</f>
        <v/>
      </c>
      <c r="K1617" s="1" t="str">
        <f>""</f>
        <v/>
      </c>
      <c r="L1617" s="1" t="str">
        <f t="shared" si="479"/>
        <v>R</v>
      </c>
      <c r="M1617" s="1" t="str">
        <f>""</f>
        <v/>
      </c>
      <c r="N1617" s="1" t="str">
        <f t="shared" si="480"/>
        <v>Y</v>
      </c>
      <c r="O1617" s="1" t="str">
        <f t="shared" si="477"/>
        <v>Y</v>
      </c>
      <c r="P1617" s="1" t="str">
        <f t="shared" si="481"/>
        <v>Y</v>
      </c>
      <c r="Q1617" s="1" t="str">
        <f t="shared" si="478"/>
        <v>A</v>
      </c>
    </row>
    <row r="1618" spans="1:17" x14ac:dyDescent="0.3">
      <c r="A1618" s="1" t="str">
        <f t="shared" si="476"/>
        <v>JC</v>
      </c>
      <c r="B1618" s="1" t="str">
        <f>"THYJC11"</f>
        <v>THYJC11</v>
      </c>
      <c r="C1618" s="1" t="str">
        <f>"음영저하"</f>
        <v>음영저하</v>
      </c>
      <c r="D1618" s="1" t="str">
        <f>"갑상선 초음파검사에서 음영이 저하된 덩어리(혹)이 보입니다. 기능이상을 동반하였는지와 연관지어 평가해야하며 경우에 따라서는 추가적인 검사가 필요할 수 있습니다. 내원하여 상담하시기 바랍니다."</f>
        <v>갑상선 초음파검사에서 음영이 저하된 덩어리(혹)이 보입니다. 기능이상을 동반하였는지와 연관지어 평가해야하며 경우에 따라서는 추가적인 검사가 필요할 수 있습니다. 내원하여 상담하시기 바랍니다.</v>
      </c>
      <c r="E1618" s="1" t="str">
        <f>""</f>
        <v/>
      </c>
      <c r="F1618" s="1" t="str">
        <f>""</f>
        <v/>
      </c>
      <c r="G1618" s="1" t="str">
        <f>""</f>
        <v/>
      </c>
      <c r="H1618" s="1" t="str">
        <f>""</f>
        <v/>
      </c>
      <c r="I1618" s="1" t="str">
        <f>""</f>
        <v/>
      </c>
      <c r="J1618" s="1" t="str">
        <f>""</f>
        <v/>
      </c>
      <c r="K1618" s="1" t="str">
        <f>""</f>
        <v/>
      </c>
      <c r="L1618" s="1" t="str">
        <f t="shared" si="479"/>
        <v>R</v>
      </c>
      <c r="M1618" s="1" t="str">
        <f>""</f>
        <v/>
      </c>
      <c r="N1618" s="1" t="str">
        <f t="shared" si="480"/>
        <v>Y</v>
      </c>
      <c r="O1618" s="1" t="str">
        <f t="shared" si="477"/>
        <v>Y</v>
      </c>
      <c r="P1618" s="1" t="str">
        <f t="shared" si="481"/>
        <v>Y</v>
      </c>
      <c r="Q1618" s="1" t="str">
        <f t="shared" si="478"/>
        <v>A</v>
      </c>
    </row>
    <row r="1619" spans="1:17" x14ac:dyDescent="0.3">
      <c r="A1619" s="1" t="str">
        <f t="shared" si="476"/>
        <v>JC</v>
      </c>
      <c r="B1619" s="1" t="str">
        <f>"THYJC12"</f>
        <v>THYJC12</v>
      </c>
      <c r="C1619" s="1" t="str">
        <f>"음영증가"</f>
        <v>음영증가</v>
      </c>
      <c r="D1619" s="1" t="str">
        <f>"갑상선 초음파검사에서 음영이 증가된 덩어리(혹)이 보입니다. 기능이상을 동반하였는지와 연관지어 평가해야하며 경우에 따라서는 추가적인 검사가 필요할수 있습니다. 내원하여 상담하시기 바랍니다."</f>
        <v>갑상선 초음파검사에서 음영이 증가된 덩어리(혹)이 보입니다. 기능이상을 동반하였는지와 연관지어 평가해야하며 경우에 따라서는 추가적인 검사가 필요할수 있습니다. 내원하여 상담하시기 바랍니다.</v>
      </c>
      <c r="E1619" s="1" t="str">
        <f>""</f>
        <v/>
      </c>
      <c r="F1619" s="1" t="str">
        <f>""</f>
        <v/>
      </c>
      <c r="G1619" s="1" t="str">
        <f>""</f>
        <v/>
      </c>
      <c r="H1619" s="1" t="str">
        <f>""</f>
        <v/>
      </c>
      <c r="I1619" s="1" t="str">
        <f>""</f>
        <v/>
      </c>
      <c r="J1619" s="1" t="str">
        <f>""</f>
        <v/>
      </c>
      <c r="K1619" s="1" t="str">
        <f>""</f>
        <v/>
      </c>
      <c r="L1619" s="1" t="str">
        <f t="shared" si="479"/>
        <v>R</v>
      </c>
      <c r="M1619" s="1" t="str">
        <f>""</f>
        <v/>
      </c>
      <c r="N1619" s="1" t="str">
        <f t="shared" si="480"/>
        <v>Y</v>
      </c>
      <c r="O1619" s="1" t="str">
        <f t="shared" si="477"/>
        <v>Y</v>
      </c>
      <c r="P1619" s="1" t="str">
        <f t="shared" si="481"/>
        <v>Y</v>
      </c>
      <c r="Q1619" s="1" t="str">
        <f t="shared" si="478"/>
        <v>A</v>
      </c>
    </row>
    <row r="1620" spans="1:17" x14ac:dyDescent="0.3">
      <c r="A1620" s="1" t="str">
        <f t="shared" si="476"/>
        <v>JC</v>
      </c>
      <c r="B1620" s="1" t="str">
        <f>"THYJC13"</f>
        <v>THYJC13</v>
      </c>
      <c r="C1620" s="1" t="str">
        <f>"전반적 음영저하"</f>
        <v>전반적 음영저하</v>
      </c>
      <c r="D1620" s="1" t="str">
        <f>"갑상선 초음파검사상 전반적으로 음영이 저하되어 보입니다. 갑상선 조직에 변화가 있을때 나타날수 있는 소견이지만 이 자체만으로는 병적인 변화여부를 단정하기 어렵습니다. 내원하셔서 상담하시기 바랍니다."</f>
        <v>갑상선 초음파검사상 전반적으로 음영이 저하되어 보입니다. 갑상선 조직에 변화가 있을때 나타날수 있는 소견이지만 이 자체만으로는 병적인 변화여부를 단정하기 어렵습니다. 내원하셔서 상담하시기 바랍니다.</v>
      </c>
      <c r="E1620" s="1" t="str">
        <f>""</f>
        <v/>
      </c>
      <c r="F1620" s="1" t="str">
        <f>""</f>
        <v/>
      </c>
      <c r="G1620" s="1" t="str">
        <f>""</f>
        <v/>
      </c>
      <c r="H1620" s="1" t="str">
        <f>""</f>
        <v/>
      </c>
      <c r="I1620" s="1" t="str">
        <f>""</f>
        <v/>
      </c>
      <c r="J1620" s="1" t="str">
        <f>""</f>
        <v/>
      </c>
      <c r="K1620" s="1" t="str">
        <f>""</f>
        <v/>
      </c>
      <c r="L1620" s="1" t="str">
        <f t="shared" si="479"/>
        <v>R</v>
      </c>
      <c r="M1620" s="1" t="str">
        <f>""</f>
        <v/>
      </c>
      <c r="N1620" s="1" t="str">
        <f t="shared" si="480"/>
        <v>Y</v>
      </c>
      <c r="O1620" s="1" t="str">
        <f t="shared" si="477"/>
        <v>Y</v>
      </c>
      <c r="P1620" s="1" t="str">
        <f t="shared" si="481"/>
        <v>Y</v>
      </c>
      <c r="Q1620" s="1" t="str">
        <f t="shared" si="478"/>
        <v>A</v>
      </c>
    </row>
    <row r="1621" spans="1:17" x14ac:dyDescent="0.3">
      <c r="A1621" s="1" t="str">
        <f t="shared" ref="A1621:A1632" si="482">"JC"</f>
        <v>JC</v>
      </c>
      <c r="B1621" s="1" t="str">
        <f>"THYJC14"</f>
        <v>THYJC14</v>
      </c>
      <c r="C1621" s="1" t="str">
        <f>"우측 음영 저하"</f>
        <v>우측 음영 저하</v>
      </c>
      <c r="D1621" s="1" t="str">
        <f>"갑상선 초음파검사상 우측의 음영이 저하되어 보입니다. 갑상선 조직에 변화가 있을때 나타날수 있는 소견이지만 이자체만으로는 병적인 변화여부를 단정하기 어렵습니다. 내원하셔서 상담하시기 바랍니다."</f>
        <v>갑상선 초음파검사상 우측의 음영이 저하되어 보입니다. 갑상선 조직에 변화가 있을때 나타날수 있는 소견이지만 이자체만으로는 병적인 변화여부를 단정하기 어렵습니다. 내원하셔서 상담하시기 바랍니다.</v>
      </c>
      <c r="E1621" s="1" t="str">
        <f>""</f>
        <v/>
      </c>
      <c r="F1621" s="1" t="str">
        <f>""</f>
        <v/>
      </c>
      <c r="G1621" s="1" t="str">
        <f>""</f>
        <v/>
      </c>
      <c r="H1621" s="1" t="str">
        <f>""</f>
        <v/>
      </c>
      <c r="I1621" s="1" t="str">
        <f>""</f>
        <v/>
      </c>
      <c r="J1621" s="1" t="str">
        <f>""</f>
        <v/>
      </c>
      <c r="K1621" s="1" t="str">
        <f>""</f>
        <v/>
      </c>
      <c r="L1621" s="1" t="str">
        <f t="shared" si="479"/>
        <v>R</v>
      </c>
      <c r="M1621" s="1" t="str">
        <f>""</f>
        <v/>
      </c>
      <c r="N1621" s="1" t="str">
        <f t="shared" si="480"/>
        <v>Y</v>
      </c>
      <c r="O1621" s="1" t="str">
        <f t="shared" si="477"/>
        <v>Y</v>
      </c>
      <c r="P1621" s="1" t="str">
        <f t="shared" si="481"/>
        <v>Y</v>
      </c>
      <c r="Q1621" s="1" t="str">
        <f t="shared" si="478"/>
        <v>A</v>
      </c>
    </row>
    <row r="1622" spans="1:17" x14ac:dyDescent="0.3">
      <c r="A1622" s="1" t="str">
        <f t="shared" si="482"/>
        <v>JC</v>
      </c>
      <c r="B1622" s="1" t="str">
        <f>"THYJC15"</f>
        <v>THYJC15</v>
      </c>
      <c r="C1622" s="1" t="str">
        <f>"좌측 음영 저하"</f>
        <v>좌측 음영 저하</v>
      </c>
      <c r="D1622" s="1" t="str">
        <f>"갑상선 초음파검사상 좌측의 음영이 저하되어 보입니다. 갑상선 조직에 변화가 있을때 나타날수 있는 소견이지만 이 자체만으로는 병적인 변화여부를 단정하기 어렵습니다. 내원하셔서 상담하시기 바랍니다."</f>
        <v>갑상선 초음파검사상 좌측의 음영이 저하되어 보입니다. 갑상선 조직에 변화가 있을때 나타날수 있는 소견이지만 이 자체만으로는 병적인 변화여부를 단정하기 어렵습니다. 내원하셔서 상담하시기 바랍니다.</v>
      </c>
      <c r="E1622" s="1" t="str">
        <f>""</f>
        <v/>
      </c>
      <c r="F1622" s="1" t="str">
        <f>""</f>
        <v/>
      </c>
      <c r="G1622" s="1" t="str">
        <f>""</f>
        <v/>
      </c>
      <c r="H1622" s="1" t="str">
        <f>""</f>
        <v/>
      </c>
      <c r="I1622" s="1" t="str">
        <f>""</f>
        <v/>
      </c>
      <c r="J1622" s="1" t="str">
        <f>""</f>
        <v/>
      </c>
      <c r="K1622" s="1" t="str">
        <f>""</f>
        <v/>
      </c>
      <c r="L1622" s="1" t="str">
        <f t="shared" si="479"/>
        <v>R</v>
      </c>
      <c r="M1622" s="1" t="str">
        <f>""</f>
        <v/>
      </c>
      <c r="N1622" s="1" t="str">
        <f t="shared" si="480"/>
        <v>Y</v>
      </c>
      <c r="O1622" s="1" t="str">
        <f t="shared" si="477"/>
        <v>Y</v>
      </c>
      <c r="P1622" s="1" t="str">
        <f t="shared" si="481"/>
        <v>Y</v>
      </c>
      <c r="Q1622" s="1" t="str">
        <f t="shared" si="478"/>
        <v>A</v>
      </c>
    </row>
    <row r="1623" spans="1:17" x14ac:dyDescent="0.3">
      <c r="A1623" s="1" t="str">
        <f t="shared" si="482"/>
        <v>JC</v>
      </c>
      <c r="B1623" s="1" t="str">
        <f>"TSHJC01"</f>
        <v>TSHJC01</v>
      </c>
      <c r="C1623" s="1" t="str">
        <f>"TSH 감소"</f>
        <v>TSH 감소</v>
      </c>
      <c r="D1623" s="1" t="str">
        <f>"갑상선기능 검사상 갑상선자극호르몬(TSH)이 약간 감소하여 있습니다. 일시적인 현상일 가능성도 있으므로 3개월 후 다시 검사를 받으시고 종합적 판단을 받으시기 바랍니다."</f>
        <v>갑상선기능 검사상 갑상선자극호르몬(TSH)이 약간 감소하여 있습니다. 일시적인 현상일 가능성도 있으므로 3개월 후 다시 검사를 받으시고 종합적 판단을 받으시기 바랍니다.</v>
      </c>
      <c r="E1623" s="1" t="str">
        <f>""</f>
        <v/>
      </c>
      <c r="F1623" s="1" t="str">
        <f>""</f>
        <v/>
      </c>
      <c r="G1623" s="1" t="str">
        <f>""</f>
        <v/>
      </c>
      <c r="H1623" s="1" t="str">
        <f>""</f>
        <v/>
      </c>
      <c r="I1623" s="1" t="str">
        <f>""</f>
        <v/>
      </c>
      <c r="J1623" s="1" t="str">
        <f>""</f>
        <v/>
      </c>
      <c r="K1623" s="1" t="str">
        <f>""</f>
        <v/>
      </c>
      <c r="L1623" s="1" t="str">
        <f t="shared" si="479"/>
        <v>R</v>
      </c>
      <c r="M1623" s="1" t="str">
        <f>""</f>
        <v/>
      </c>
      <c r="N1623" s="1" t="str">
        <f t="shared" si="480"/>
        <v>Y</v>
      </c>
      <c r="O1623" s="1" t="str">
        <f t="shared" si="477"/>
        <v>Y</v>
      </c>
      <c r="P1623" s="1" t="str">
        <f t="shared" si="481"/>
        <v>Y</v>
      </c>
      <c r="Q1623" s="1" t="str">
        <f t="shared" si="478"/>
        <v>A</v>
      </c>
    </row>
    <row r="1624" spans="1:17" x14ac:dyDescent="0.3">
      <c r="A1624" s="1" t="str">
        <f t="shared" si="482"/>
        <v>JC</v>
      </c>
      <c r="B1624" s="1" t="str">
        <f>"TSHJC02"</f>
        <v>TSHJC02</v>
      </c>
      <c r="C1624" s="1" t="str">
        <f>"TSH 증가"</f>
        <v>TSH 증가</v>
      </c>
      <c r="D1624" s="1" t="str">
        <f>"갑상선기능 검사상 갑상선자극호르몬(TSH)이 약간 증가하여 있습니다. 일시적인 현상일 가능성도 있으므로 3개월 후 다시 검사를 받으시고 종합적 판단을 받으시기 바랍니다."</f>
        <v>갑상선기능 검사상 갑상선자극호르몬(TSH)이 약간 증가하여 있습니다. 일시적인 현상일 가능성도 있으므로 3개월 후 다시 검사를 받으시고 종합적 판단을 받으시기 바랍니다.</v>
      </c>
      <c r="E1624" s="1" t="str">
        <f>""</f>
        <v/>
      </c>
      <c r="F1624" s="1" t="str">
        <f>""</f>
        <v/>
      </c>
      <c r="G1624" s="1" t="str">
        <f>""</f>
        <v/>
      </c>
      <c r="H1624" s="1" t="str">
        <f>""</f>
        <v/>
      </c>
      <c r="I1624" s="1" t="str">
        <f>""</f>
        <v/>
      </c>
      <c r="J1624" s="1" t="str">
        <f>""</f>
        <v/>
      </c>
      <c r="K1624" s="1" t="str">
        <f>""</f>
        <v/>
      </c>
      <c r="L1624" s="1" t="str">
        <f t="shared" si="479"/>
        <v>R</v>
      </c>
      <c r="M1624" s="1" t="str">
        <f>""</f>
        <v/>
      </c>
      <c r="N1624" s="1" t="str">
        <f t="shared" si="480"/>
        <v>Y</v>
      </c>
      <c r="O1624" s="1" t="str">
        <f t="shared" si="477"/>
        <v>Y</v>
      </c>
      <c r="P1624" s="1" t="str">
        <f t="shared" si="481"/>
        <v>Y</v>
      </c>
      <c r="Q1624" s="1" t="str">
        <f t="shared" si="478"/>
        <v>A</v>
      </c>
    </row>
    <row r="1625" spans="1:17" x14ac:dyDescent="0.3">
      <c r="A1625" s="1" t="str">
        <f t="shared" si="482"/>
        <v>JC</v>
      </c>
      <c r="B1625" s="1" t="str">
        <f>"UBIJC01"</f>
        <v>UBIJC01</v>
      </c>
      <c r="C1625" s="1" t="str">
        <f>"뇨중 빌리루빈 검출"</f>
        <v>뇨중 빌리루빈 검출</v>
      </c>
      <c r="D1625" s="1" t="str">
        <f>"소변에서 빌리루빈 성분이 검출됩니다. 간장질환이 있을 경우 나올 수 있으나 다른 검사에서 이상이 없는 상태에서 검출되는 것은 큰 의미가 없습니다. 재검사를 위해 내원하시기 바랍니다."</f>
        <v>소변에서 빌리루빈 성분이 검출됩니다. 간장질환이 있을 경우 나올 수 있으나 다른 검사에서 이상이 없는 상태에서 검출되는 것은 큰 의미가 없습니다. 재검사를 위해 내원하시기 바랍니다.</v>
      </c>
      <c r="E1625" s="1" t="str">
        <f>""</f>
        <v/>
      </c>
      <c r="F1625" s="1" t="str">
        <f>""</f>
        <v/>
      </c>
      <c r="G1625" s="1" t="str">
        <f>""</f>
        <v/>
      </c>
      <c r="H1625" s="1" t="str">
        <f>""</f>
        <v/>
      </c>
      <c r="I1625" s="1" t="str">
        <f>""</f>
        <v/>
      </c>
      <c r="J1625" s="1" t="str">
        <f>""</f>
        <v/>
      </c>
      <c r="K1625" s="1" t="str">
        <f>""</f>
        <v/>
      </c>
      <c r="L1625" s="1" t="str">
        <f t="shared" si="479"/>
        <v>R</v>
      </c>
      <c r="M1625" s="1" t="str">
        <f>""</f>
        <v/>
      </c>
      <c r="N1625" s="1" t="str">
        <f t="shared" si="480"/>
        <v>Y</v>
      </c>
      <c r="O1625" s="1" t="str">
        <f t="shared" si="477"/>
        <v>Y</v>
      </c>
      <c r="P1625" s="1" t="str">
        <f t="shared" si="481"/>
        <v>Y</v>
      </c>
      <c r="Q1625" s="1" t="str">
        <f t="shared" si="478"/>
        <v>A</v>
      </c>
    </row>
    <row r="1626" spans="1:17" x14ac:dyDescent="0.3">
      <c r="A1626" s="1" t="str">
        <f t="shared" si="482"/>
        <v>JC</v>
      </c>
      <c r="B1626" s="1" t="str">
        <f>"UKEJC01"</f>
        <v>UKEJC01</v>
      </c>
      <c r="C1626" s="1" t="str">
        <f>"뇨중 케톤 검출"</f>
        <v>뇨중 케톤 검출</v>
      </c>
      <c r="D1626" s="1" t="str">
        <f>"소변에서 케톤 성분이 검출됩니다. 소변의 케톤성분은 당뇨병이 있을 경우 나올 수 있으나 금식을 한 후나 단백질을 많이 섭취한 경우에도 나올 수 있습니다. 재검사를 위해 내원하시기 바랍니다."</f>
        <v>소변에서 케톤 성분이 검출됩니다. 소변의 케톤성분은 당뇨병이 있을 경우 나올 수 있으나 금식을 한 후나 단백질을 많이 섭취한 경우에도 나올 수 있습니다. 재검사를 위해 내원하시기 바랍니다.</v>
      </c>
      <c r="E1626" s="1" t="str">
        <f>""</f>
        <v/>
      </c>
      <c r="F1626" s="1" t="str">
        <f>""</f>
        <v/>
      </c>
      <c r="G1626" s="1" t="str">
        <f>""</f>
        <v/>
      </c>
      <c r="H1626" s="1" t="str">
        <f>""</f>
        <v/>
      </c>
      <c r="I1626" s="1" t="str">
        <f>""</f>
        <v/>
      </c>
      <c r="J1626" s="1" t="str">
        <f>""</f>
        <v/>
      </c>
      <c r="K1626" s="1" t="str">
        <f>""</f>
        <v/>
      </c>
      <c r="L1626" s="1" t="str">
        <f t="shared" si="479"/>
        <v>R</v>
      </c>
      <c r="M1626" s="1" t="str">
        <f>""</f>
        <v/>
      </c>
      <c r="N1626" s="1" t="str">
        <f t="shared" si="480"/>
        <v>Y</v>
      </c>
      <c r="O1626" s="1" t="str">
        <f t="shared" si="477"/>
        <v>Y</v>
      </c>
      <c r="P1626" s="1" t="str">
        <f t="shared" si="481"/>
        <v>Y</v>
      </c>
      <c r="Q1626" s="1" t="str">
        <f t="shared" si="478"/>
        <v>A</v>
      </c>
    </row>
    <row r="1627" spans="1:17" x14ac:dyDescent="0.3">
      <c r="A1627" s="1" t="str">
        <f t="shared" si="482"/>
        <v>JC</v>
      </c>
      <c r="B1627" s="1" t="str">
        <f>"URIJC01"</f>
        <v>URIJC01</v>
      </c>
      <c r="C1627" s="1" t="str">
        <f>"혈중 요산 상승"</f>
        <v>혈중 요산 상승</v>
      </c>
      <c r="D1627" s="1" t="str">
        <f>"혈중요산치가 높습니다. 통풍이라는 병과 동반되어 나타난 결과일 가능성이 있으나 육류를 많이 섭취하여 나타난 일시적인 현상일 가능성도 있습니다. 내원하셔서 상담하시기 바랍니다."</f>
        <v>혈중요산치가 높습니다. 통풍이라는 병과 동반되어 나타난 결과일 가능성이 있으나 육류를 많이 섭취하여 나타난 일시적인 현상일 가능성도 있습니다. 내원하셔서 상담하시기 바랍니다.</v>
      </c>
      <c r="E1627" s="1" t="str">
        <f>""</f>
        <v/>
      </c>
      <c r="F1627" s="1" t="str">
        <f>""</f>
        <v/>
      </c>
      <c r="G1627" s="1" t="str">
        <f>""</f>
        <v/>
      </c>
      <c r="H1627" s="1" t="str">
        <f>""</f>
        <v/>
      </c>
      <c r="I1627" s="1" t="str">
        <f>""</f>
        <v/>
      </c>
      <c r="J1627" s="1" t="str">
        <f>""</f>
        <v/>
      </c>
      <c r="K1627" s="1" t="str">
        <f>""</f>
        <v/>
      </c>
      <c r="L1627" s="1" t="str">
        <f t="shared" si="479"/>
        <v>R</v>
      </c>
      <c r="M1627" s="1" t="str">
        <f>""</f>
        <v/>
      </c>
      <c r="N1627" s="1" t="str">
        <f t="shared" si="480"/>
        <v>Y</v>
      </c>
      <c r="O1627" s="1" t="str">
        <f t="shared" si="477"/>
        <v>Y</v>
      </c>
      <c r="P1627" s="1" t="str">
        <f t="shared" si="481"/>
        <v>Y</v>
      </c>
      <c r="Q1627" s="1" t="str">
        <f t="shared" si="478"/>
        <v>A</v>
      </c>
    </row>
    <row r="1628" spans="1:17" x14ac:dyDescent="0.3">
      <c r="A1628" s="1" t="str">
        <f t="shared" si="482"/>
        <v>JC</v>
      </c>
      <c r="B1628" s="1" t="str">
        <f>"UROJC01"</f>
        <v>UROJC01</v>
      </c>
      <c r="C1628" s="1" t="str">
        <f>"뇨중 유로비리노젠 검출"</f>
        <v>뇨중 유로비리노젠 검출</v>
      </c>
      <c r="D1628" s="1" t="str">
        <f>"소변에서 유로비리노젠 성분이 검출됩니다. 간장질환이 있을 경우 나올 수 있으나 다른 검사에서 이상이 없는 상태에서 검출되는 것은 큰 의미가 없습니다. 재검사를 위해 내원하시기 바랍니다."</f>
        <v>소변에서 유로비리노젠 성분이 검출됩니다. 간장질환이 있을 경우 나올 수 있으나 다른 검사에서 이상이 없는 상태에서 검출되는 것은 큰 의미가 없습니다. 재검사를 위해 내원하시기 바랍니다.</v>
      </c>
      <c r="E1628" s="1" t="str">
        <f>""</f>
        <v/>
      </c>
      <c r="F1628" s="1" t="str">
        <f>""</f>
        <v/>
      </c>
      <c r="G1628" s="1" t="str">
        <f>""</f>
        <v/>
      </c>
      <c r="H1628" s="1" t="str">
        <f>""</f>
        <v/>
      </c>
      <c r="I1628" s="1" t="str">
        <f>""</f>
        <v/>
      </c>
      <c r="J1628" s="1" t="str">
        <f>""</f>
        <v/>
      </c>
      <c r="K1628" s="1" t="str">
        <f>""</f>
        <v/>
      </c>
      <c r="L1628" s="1" t="str">
        <f t="shared" si="479"/>
        <v>R</v>
      </c>
      <c r="M1628" s="1" t="str">
        <f>""</f>
        <v/>
      </c>
      <c r="N1628" s="1" t="str">
        <f t="shared" si="480"/>
        <v>Y</v>
      </c>
      <c r="O1628" s="1" t="str">
        <f t="shared" si="477"/>
        <v>Y</v>
      </c>
      <c r="P1628" s="1" t="str">
        <f t="shared" si="481"/>
        <v>Y</v>
      </c>
      <c r="Q1628" s="1" t="str">
        <f t="shared" si="478"/>
        <v>A</v>
      </c>
    </row>
    <row r="1629" spans="1:17" x14ac:dyDescent="0.3">
      <c r="A1629" s="1" t="str">
        <f t="shared" si="482"/>
        <v>JC</v>
      </c>
      <c r="B1629" s="1" t="str">
        <f>"USRJC01"</f>
        <v>USRJC01</v>
      </c>
      <c r="C1629" s="1" t="str">
        <f>"혈뇨검출"</f>
        <v>혈뇨검출</v>
      </c>
      <c r="D1629" s="1" t="s">
        <v>444</v>
      </c>
      <c r="E1629" s="1" t="str">
        <f>""</f>
        <v/>
      </c>
      <c r="F1629" s="1" t="str">
        <f>""</f>
        <v/>
      </c>
      <c r="G1629" s="1" t="str">
        <f>""</f>
        <v/>
      </c>
      <c r="H1629" s="1" t="str">
        <f>""</f>
        <v/>
      </c>
      <c r="I1629" s="1" t="str">
        <f>""</f>
        <v/>
      </c>
      <c r="J1629" s="1" t="str">
        <f>""</f>
        <v/>
      </c>
      <c r="K1629" s="1" t="str">
        <f>""</f>
        <v/>
      </c>
      <c r="L1629" s="1" t="str">
        <f t="shared" si="479"/>
        <v>R</v>
      </c>
      <c r="M1629" s="1" t="str">
        <f>""</f>
        <v/>
      </c>
      <c r="N1629" s="1" t="str">
        <f t="shared" si="480"/>
        <v>Y</v>
      </c>
      <c r="O1629" s="1" t="str">
        <f t="shared" si="477"/>
        <v>Y</v>
      </c>
      <c r="P1629" s="1" t="str">
        <f t="shared" si="481"/>
        <v>Y</v>
      </c>
      <c r="Q1629" s="1" t="str">
        <f t="shared" si="478"/>
        <v>A</v>
      </c>
    </row>
    <row r="1630" spans="1:17" x14ac:dyDescent="0.3">
      <c r="A1630" s="1" t="str">
        <f t="shared" si="482"/>
        <v>JC</v>
      </c>
      <c r="B1630" s="1" t="str">
        <f>"USWJC01"</f>
        <v>USWJC01</v>
      </c>
      <c r="C1630" s="1" t="str">
        <f>"뇨중 백혈구검출"</f>
        <v>뇨중 백혈구검출</v>
      </c>
      <c r="D1630" s="1" t="s">
        <v>445</v>
      </c>
      <c r="E1630" s="1" t="str">
        <f>""</f>
        <v/>
      </c>
      <c r="F1630" s="1" t="str">
        <f>""</f>
        <v/>
      </c>
      <c r="G1630" s="1" t="str">
        <f>""</f>
        <v/>
      </c>
      <c r="H1630" s="1" t="str">
        <f>""</f>
        <v/>
      </c>
      <c r="I1630" s="1" t="str">
        <f>""</f>
        <v/>
      </c>
      <c r="J1630" s="1" t="str">
        <f>""</f>
        <v/>
      </c>
      <c r="K1630" s="1" t="str">
        <f>""</f>
        <v/>
      </c>
      <c r="L1630" s="1" t="str">
        <f t="shared" si="479"/>
        <v>R</v>
      </c>
      <c r="M1630" s="1" t="str">
        <f>""</f>
        <v/>
      </c>
      <c r="N1630" s="1" t="str">
        <f t="shared" si="480"/>
        <v>Y</v>
      </c>
      <c r="O1630" s="1" t="str">
        <f t="shared" si="477"/>
        <v>Y</v>
      </c>
      <c r="P1630" s="1" t="str">
        <f t="shared" si="481"/>
        <v>Y</v>
      </c>
      <c r="Q1630" s="1" t="str">
        <f t="shared" si="478"/>
        <v>A</v>
      </c>
    </row>
    <row r="1631" spans="1:17" x14ac:dyDescent="0.3">
      <c r="A1631" s="1" t="str">
        <f t="shared" si="482"/>
        <v>JC</v>
      </c>
      <c r="B1631" s="1" t="str">
        <f>"WHIJC01"</f>
        <v>WHIJC01</v>
      </c>
      <c r="C1631" s="1" t="str">
        <f>"백혈구 증가"</f>
        <v>백혈구 증가</v>
      </c>
      <c r="D1631" s="1" t="str">
        <f>"혈액검사에서 백혈구수가 증가하였습니다. 원인규명을 위해 상세한 상담 및 진료가 필요합니다. 내원하시어 상담하시거나 혈액종양내과 진료를 권합니다."</f>
        <v>혈액검사에서 백혈구수가 증가하였습니다. 원인규명을 위해 상세한 상담 및 진료가 필요합니다. 내원하시어 상담하시거나 혈액종양내과 진료를 권합니다.</v>
      </c>
      <c r="E1631" s="1" t="str">
        <f>"WOK02"</f>
        <v>WOK02</v>
      </c>
      <c r="F1631" s="1" t="str">
        <f>""</f>
        <v/>
      </c>
      <c r="G1631" s="1" t="str">
        <f>"DISD"</f>
        <v>DISD</v>
      </c>
      <c r="H1631" s="1" t="str">
        <f>"REL12"</f>
        <v>REL12</v>
      </c>
      <c r="I1631" s="1" t="str">
        <f>""</f>
        <v/>
      </c>
      <c r="J1631" s="1" t="str">
        <f>""</f>
        <v/>
      </c>
      <c r="K1631" s="1" t="str">
        <f>""</f>
        <v/>
      </c>
      <c r="L1631" s="1" t="str">
        <f t="shared" si="479"/>
        <v>R</v>
      </c>
      <c r="M1631" s="1" t="str">
        <f>"T01"</f>
        <v>T01</v>
      </c>
      <c r="N1631" s="1" t="str">
        <f t="shared" si="480"/>
        <v>Y</v>
      </c>
      <c r="O1631" s="1" t="str">
        <f t="shared" si="477"/>
        <v>Y</v>
      </c>
      <c r="P1631" s="1" t="str">
        <f t="shared" si="481"/>
        <v>Y</v>
      </c>
      <c r="Q1631" s="1" t="str">
        <f t="shared" si="478"/>
        <v>A</v>
      </c>
    </row>
    <row r="1632" spans="1:17" x14ac:dyDescent="0.3">
      <c r="A1632" s="1" t="str">
        <f t="shared" si="482"/>
        <v>JC</v>
      </c>
      <c r="B1632" s="1" t="str">
        <f>"WHIJC02"</f>
        <v>WHIJC02</v>
      </c>
      <c r="C1632" s="1" t="str">
        <f>"백혈구 감소"</f>
        <v>백혈구 감소</v>
      </c>
      <c r="D1632" s="1" t="str">
        <f>"혈액검사결과 백혈구수가 감소하여 조혈기능의 이상을 의심케합니다. 원인규명을 위해 상세한 상담 및 진료가 필요합니다. 내원하시어 상담하시거나 혈액종양내과 진료를 권합니다."</f>
        <v>혈액검사결과 백혈구수가 감소하여 조혈기능의 이상을 의심케합니다. 원인규명을 위해 상세한 상담 및 진료가 필요합니다. 내원하시어 상담하시거나 혈액종양내과 진료를 권합니다.</v>
      </c>
      <c r="E1632" s="1" t="str">
        <f>"WOK02"</f>
        <v>WOK02</v>
      </c>
      <c r="F1632" s="1" t="str">
        <f>""</f>
        <v/>
      </c>
      <c r="G1632" s="1" t="str">
        <f>"DISD"</f>
        <v>DISD</v>
      </c>
      <c r="H1632" s="1" t="str">
        <f>"REL12"</f>
        <v>REL12</v>
      </c>
      <c r="I1632" s="1" t="str">
        <f>""</f>
        <v/>
      </c>
      <c r="J1632" s="1" t="str">
        <f>""</f>
        <v/>
      </c>
      <c r="K1632" s="1" t="str">
        <f>""</f>
        <v/>
      </c>
      <c r="L1632" s="1" t="str">
        <f t="shared" si="479"/>
        <v>R</v>
      </c>
      <c r="M1632" s="1" t="str">
        <f>"T01"</f>
        <v>T01</v>
      </c>
      <c r="N1632" s="1" t="str">
        <f t="shared" si="480"/>
        <v>Y</v>
      </c>
      <c r="O1632" s="1" t="str">
        <f t="shared" si="477"/>
        <v>Y</v>
      </c>
      <c r="P1632" s="1" t="str">
        <f t="shared" si="481"/>
        <v>Y</v>
      </c>
      <c r="Q1632" s="1" t="str">
        <f t="shared" si="478"/>
        <v>A</v>
      </c>
    </row>
    <row r="1633" spans="1:17" x14ac:dyDescent="0.3">
      <c r="A1633" s="1" t="str">
        <f t="shared" ref="A1633:A1645" si="483">"JD"</f>
        <v>JD</v>
      </c>
      <c r="B1633" s="1" t="str">
        <f>"BONJD01"</f>
        <v>BONJD01</v>
      </c>
      <c r="C1633" s="1" t="str">
        <f>"골다공증"</f>
        <v>골다공증</v>
      </c>
      <c r="D1633" s="1" t="str">
        <f>"골밀도 검사상 골다공증에 해당합니다. 골밀도가 정상인 사람에 비해 뼈에 구멍이 생기고 얇아진 상태입니다. 상세한 상담 및 진료가 필요합니다. 내원하시어 상담하시거나 내과 진료를 권합니다."</f>
        <v>골밀도 검사상 골다공증에 해당합니다. 골밀도가 정상인 사람에 비해 뼈에 구멍이 생기고 얇아진 상태입니다. 상세한 상담 및 진료가 필요합니다. 내원하시어 상담하시거나 내과 진료를 권합니다.</v>
      </c>
      <c r="E1633" s="1" t="str">
        <f>""</f>
        <v/>
      </c>
      <c r="F1633" s="1" t="str">
        <f>""</f>
        <v/>
      </c>
      <c r="G1633" s="1" t="str">
        <f>""</f>
        <v/>
      </c>
      <c r="H1633" s="1" t="str">
        <f>""</f>
        <v/>
      </c>
      <c r="I1633" s="1" t="str">
        <f>""</f>
        <v/>
      </c>
      <c r="J1633" s="1" t="str">
        <f>""</f>
        <v/>
      </c>
      <c r="K1633" s="1" t="str">
        <f>""</f>
        <v/>
      </c>
      <c r="L1633" s="1" t="str">
        <f t="shared" si="479"/>
        <v>R</v>
      </c>
      <c r="M1633" s="1" t="str">
        <f>""</f>
        <v/>
      </c>
      <c r="N1633" s="1" t="str">
        <f t="shared" si="480"/>
        <v>Y</v>
      </c>
      <c r="O1633" s="1" t="str">
        <f t="shared" si="477"/>
        <v>Y</v>
      </c>
      <c r="P1633" s="1" t="str">
        <f t="shared" si="481"/>
        <v>Y</v>
      </c>
      <c r="Q1633" s="1" t="str">
        <f t="shared" si="478"/>
        <v>A</v>
      </c>
    </row>
    <row r="1634" spans="1:17" x14ac:dyDescent="0.3">
      <c r="A1634" s="1" t="str">
        <f t="shared" si="483"/>
        <v>JD</v>
      </c>
      <c r="B1634" s="1" t="str">
        <f>"HBGJD01"</f>
        <v>HBGJD01</v>
      </c>
      <c r="C1634" s="1" t="str">
        <f>"B형간염보균"</f>
        <v>B형간염보균</v>
      </c>
      <c r="D1634" s="1" t="s">
        <v>487</v>
      </c>
      <c r="E1634" s="1" t="str">
        <f>""</f>
        <v/>
      </c>
      <c r="F1634" s="1" t="str">
        <f>""</f>
        <v/>
      </c>
      <c r="G1634" s="1" t="str">
        <f>""</f>
        <v/>
      </c>
      <c r="H1634" s="1" t="str">
        <f>""</f>
        <v/>
      </c>
      <c r="I1634" s="1" t="str">
        <f>""</f>
        <v/>
      </c>
      <c r="J1634" s="1" t="str">
        <f>""</f>
        <v/>
      </c>
      <c r="K1634" s="1" t="str">
        <f>""</f>
        <v/>
      </c>
      <c r="L1634" s="1" t="str">
        <f t="shared" si="479"/>
        <v>R</v>
      </c>
      <c r="M1634" s="1" t="str">
        <f>""</f>
        <v/>
      </c>
      <c r="N1634" s="1" t="str">
        <f t="shared" si="480"/>
        <v>Y</v>
      </c>
      <c r="O1634" s="1" t="str">
        <f t="shared" si="477"/>
        <v>Y</v>
      </c>
      <c r="P1634" s="1" t="str">
        <f t="shared" si="481"/>
        <v>Y</v>
      </c>
      <c r="Q1634" s="1" t="str">
        <f t="shared" si="478"/>
        <v>A</v>
      </c>
    </row>
    <row r="1635" spans="1:17" x14ac:dyDescent="0.3">
      <c r="A1635" s="1" t="str">
        <f t="shared" si="483"/>
        <v>JD</v>
      </c>
      <c r="B1635" s="1" t="str">
        <f>"LDLJD01"</f>
        <v>LDLJD01</v>
      </c>
      <c r="C1635" s="1" t="str">
        <f>"고지혈증"</f>
        <v>고지혈증</v>
      </c>
      <c r="D1635" s="1" t="str">
        <f>"동맥경화와 관련이 있는 혈중 저밀도 콜레스테롤치가 상승되어 있습니다. 상세한 상담 및 진료가 필요합니다. 진료를 위해 가정의학과 또는 내과로 내원하시기 바랍니다."</f>
        <v>동맥경화와 관련이 있는 혈중 저밀도 콜레스테롤치가 상승되어 있습니다. 상세한 상담 및 진료가 필요합니다. 진료를 위해 가정의학과 또는 내과로 내원하시기 바랍니다.</v>
      </c>
      <c r="E1635" s="1" t="str">
        <f>"WOK02"</f>
        <v>WOK02</v>
      </c>
      <c r="F1635" s="1" t="str">
        <f>""</f>
        <v/>
      </c>
      <c r="G1635" s="1" t="str">
        <f>"DISE"</f>
        <v>DISE</v>
      </c>
      <c r="H1635" s="1" t="str">
        <f>"REL04"</f>
        <v>REL04</v>
      </c>
      <c r="I1635" s="1" t="str">
        <f>""</f>
        <v/>
      </c>
      <c r="J1635" s="1" t="str">
        <f>""</f>
        <v/>
      </c>
      <c r="K1635" s="1" t="str">
        <f>""</f>
        <v/>
      </c>
      <c r="L1635" s="1" t="str">
        <f t="shared" si="479"/>
        <v>R</v>
      </c>
      <c r="M1635" s="1" t="str">
        <f>"T03"</f>
        <v>T03</v>
      </c>
      <c r="N1635" s="1" t="str">
        <f t="shared" si="480"/>
        <v>Y</v>
      </c>
      <c r="O1635" s="1" t="str">
        <f t="shared" si="477"/>
        <v>Y</v>
      </c>
      <c r="P1635" s="1" t="str">
        <f t="shared" si="481"/>
        <v>Y</v>
      </c>
      <c r="Q1635" s="1" t="str">
        <f t="shared" si="478"/>
        <v>A</v>
      </c>
    </row>
    <row r="1636" spans="1:17" x14ac:dyDescent="0.3">
      <c r="A1636" s="1" t="str">
        <f t="shared" si="483"/>
        <v>JD</v>
      </c>
      <c r="B1636" s="1" t="str">
        <f>"PLAJD01"</f>
        <v>PLAJD01</v>
      </c>
      <c r="C1636" s="1" t="str">
        <f>"혈소판 증가"</f>
        <v>혈소판 증가</v>
      </c>
      <c r="D1636" s="1" t="str">
        <f>"혈액검사에서 혈소판수가 증가하였습니다. 원인규명을 위해 상세한 상담 및 진료가 필요합니다. 내원하시어 상담하시거나 혈액종양내과 진료를 권합니다."</f>
        <v>혈액검사에서 혈소판수가 증가하였습니다. 원인규명을 위해 상세한 상담 및 진료가 필요합니다. 내원하시어 상담하시거나 혈액종양내과 진료를 권합니다.</v>
      </c>
      <c r="E1636" s="1" t="str">
        <f>"WOK02"</f>
        <v>WOK02</v>
      </c>
      <c r="F1636" s="1" t="str">
        <f>""</f>
        <v/>
      </c>
      <c r="G1636" s="1" t="str">
        <f>"DISD"</f>
        <v>DISD</v>
      </c>
      <c r="H1636" s="1" t="str">
        <f>"REL12"</f>
        <v>REL12</v>
      </c>
      <c r="I1636" s="1" t="str">
        <f>""</f>
        <v/>
      </c>
      <c r="J1636" s="1" t="str">
        <f>""</f>
        <v/>
      </c>
      <c r="K1636" s="1" t="str">
        <f>""</f>
        <v/>
      </c>
      <c r="L1636" s="1" t="str">
        <f t="shared" si="479"/>
        <v>R</v>
      </c>
      <c r="M1636" s="1" t="str">
        <f>"T01"</f>
        <v>T01</v>
      </c>
      <c r="N1636" s="1" t="str">
        <f t="shared" si="480"/>
        <v>Y</v>
      </c>
      <c r="O1636" s="1" t="str">
        <f t="shared" si="477"/>
        <v>Y</v>
      </c>
      <c r="P1636" s="1" t="str">
        <f t="shared" si="481"/>
        <v>Y</v>
      </c>
      <c r="Q1636" s="1" t="str">
        <f t="shared" si="478"/>
        <v>A</v>
      </c>
    </row>
    <row r="1637" spans="1:17" x14ac:dyDescent="0.3">
      <c r="A1637" s="1" t="str">
        <f t="shared" si="483"/>
        <v>JD</v>
      </c>
      <c r="B1637" s="1" t="str">
        <f>"PLAJD02"</f>
        <v>PLAJD02</v>
      </c>
      <c r="C1637" s="1" t="str">
        <f>"혈소판 감소"</f>
        <v>혈소판 감소</v>
      </c>
      <c r="D1637" s="1" t="str">
        <f>"혈액검사에서 혈소판수가 감소하여 조혈기능의 이상을 의심케합니다. 원인규명을 위해 상세한 상담 및 진료가 필요합니다. 내원하시어 상담하시거나 혈액종양내과 진료를 권합니다."</f>
        <v>혈액검사에서 혈소판수가 감소하여 조혈기능의 이상을 의심케합니다. 원인규명을 위해 상세한 상담 및 진료가 필요합니다. 내원하시어 상담하시거나 혈액종양내과 진료를 권합니다.</v>
      </c>
      <c r="E1637" s="1" t="str">
        <f>"WOK02"</f>
        <v>WOK02</v>
      </c>
      <c r="F1637" s="1" t="str">
        <f>""</f>
        <v/>
      </c>
      <c r="G1637" s="1" t="str">
        <f>"DISD"</f>
        <v>DISD</v>
      </c>
      <c r="H1637" s="1" t="str">
        <f>"REL12"</f>
        <v>REL12</v>
      </c>
      <c r="I1637" s="1" t="str">
        <f>""</f>
        <v/>
      </c>
      <c r="J1637" s="1" t="str">
        <f>""</f>
        <v/>
      </c>
      <c r="K1637" s="1" t="str">
        <f>""</f>
        <v/>
      </c>
      <c r="L1637" s="1" t="str">
        <f t="shared" si="479"/>
        <v>R</v>
      </c>
      <c r="M1637" s="1" t="str">
        <f>"T01"</f>
        <v>T01</v>
      </c>
      <c r="N1637" s="1" t="str">
        <f t="shared" si="480"/>
        <v>Y</v>
      </c>
      <c r="O1637" s="1" t="str">
        <f t="shared" si="477"/>
        <v>Y</v>
      </c>
      <c r="P1637" s="1" t="str">
        <f t="shared" si="481"/>
        <v>Y</v>
      </c>
      <c r="Q1637" s="1" t="str">
        <f t="shared" si="478"/>
        <v>A</v>
      </c>
    </row>
    <row r="1638" spans="1:17" x14ac:dyDescent="0.3">
      <c r="A1638" s="1" t="str">
        <f t="shared" si="483"/>
        <v>JD</v>
      </c>
      <c r="B1638" s="1" t="str">
        <f>"SONJD01"</f>
        <v>SONJD01</v>
      </c>
      <c r="C1638" s="1" t="str">
        <f>"만성 간질환"</f>
        <v>만성 간질환</v>
      </c>
      <c r="D1638" s="1" t="s">
        <v>488</v>
      </c>
      <c r="E1638" s="1" t="str">
        <f>""</f>
        <v/>
      </c>
      <c r="F1638" s="1" t="str">
        <f>""</f>
        <v/>
      </c>
      <c r="G1638" s="1" t="str">
        <f>""</f>
        <v/>
      </c>
      <c r="H1638" s="1" t="str">
        <f>""</f>
        <v/>
      </c>
      <c r="I1638" s="1" t="str">
        <f>""</f>
        <v/>
      </c>
      <c r="J1638" s="1" t="str">
        <f>""</f>
        <v/>
      </c>
      <c r="K1638" s="1" t="str">
        <f>""</f>
        <v/>
      </c>
      <c r="L1638" s="1" t="str">
        <f t="shared" si="479"/>
        <v>R</v>
      </c>
      <c r="M1638" s="1" t="str">
        <f>""</f>
        <v/>
      </c>
      <c r="N1638" s="1" t="str">
        <f t="shared" si="480"/>
        <v>Y</v>
      </c>
      <c r="O1638" s="1" t="str">
        <f t="shared" si="477"/>
        <v>Y</v>
      </c>
      <c r="P1638" s="1" t="str">
        <f t="shared" si="481"/>
        <v>Y</v>
      </c>
      <c r="Q1638" s="1" t="str">
        <f t="shared" si="478"/>
        <v>A</v>
      </c>
    </row>
    <row r="1639" spans="1:17" x14ac:dyDescent="0.3">
      <c r="A1639" s="1" t="str">
        <f t="shared" si="483"/>
        <v>JD</v>
      </c>
      <c r="B1639" s="1" t="str">
        <f>"SONJD02"</f>
        <v>SONJD02</v>
      </c>
      <c r="C1639" s="1" t="str">
        <f>"만성 신장질환"</f>
        <v>만성 신장질환</v>
      </c>
      <c r="D1639" s="1" t="s">
        <v>489</v>
      </c>
      <c r="E1639" s="1" t="str">
        <f>""</f>
        <v/>
      </c>
      <c r="F1639" s="1" t="str">
        <f>""</f>
        <v/>
      </c>
      <c r="G1639" s="1" t="str">
        <f>""</f>
        <v/>
      </c>
      <c r="H1639" s="1" t="str">
        <f>""</f>
        <v/>
      </c>
      <c r="I1639" s="1" t="str">
        <f>""</f>
        <v/>
      </c>
      <c r="J1639" s="1" t="str">
        <f>""</f>
        <v/>
      </c>
      <c r="K1639" s="1" t="str">
        <f>""</f>
        <v/>
      </c>
      <c r="L1639" s="1" t="str">
        <f t="shared" si="479"/>
        <v>R</v>
      </c>
      <c r="M1639" s="1" t="str">
        <f>""</f>
        <v/>
      </c>
      <c r="N1639" s="1" t="str">
        <f t="shared" si="480"/>
        <v>Y</v>
      </c>
      <c r="O1639" s="1" t="str">
        <f t="shared" si="477"/>
        <v>Y</v>
      </c>
      <c r="P1639" s="1" t="str">
        <f t="shared" si="481"/>
        <v>Y</v>
      </c>
      <c r="Q1639" s="1" t="str">
        <f t="shared" si="478"/>
        <v>A</v>
      </c>
    </row>
    <row r="1640" spans="1:17" x14ac:dyDescent="0.3">
      <c r="A1640" s="1" t="str">
        <f t="shared" si="483"/>
        <v>JD</v>
      </c>
      <c r="B1640" s="1" t="str">
        <f>"TBIJD01"</f>
        <v>TBIJD01</v>
      </c>
      <c r="C1640" s="1" t="str">
        <f>"혈중빌리루빈 증가"</f>
        <v>혈중빌리루빈 증가</v>
      </c>
      <c r="D1640" s="1" t="s">
        <v>409</v>
      </c>
      <c r="E1640" s="1" t="str">
        <f>""</f>
        <v/>
      </c>
      <c r="F1640" s="1" t="str">
        <f>""</f>
        <v/>
      </c>
      <c r="G1640" s="1" t="str">
        <f>""</f>
        <v/>
      </c>
      <c r="H1640" s="1" t="str">
        <f>""</f>
        <v/>
      </c>
      <c r="I1640" s="1" t="str">
        <f>""</f>
        <v/>
      </c>
      <c r="J1640" s="1" t="str">
        <f>""</f>
        <v/>
      </c>
      <c r="K1640" s="1" t="str">
        <f>""</f>
        <v/>
      </c>
      <c r="L1640" s="1" t="str">
        <f t="shared" si="479"/>
        <v>R</v>
      </c>
      <c r="M1640" s="1" t="str">
        <f>""</f>
        <v/>
      </c>
      <c r="N1640" s="1" t="str">
        <f t="shared" si="480"/>
        <v>Y</v>
      </c>
      <c r="O1640" s="1" t="str">
        <f t="shared" si="477"/>
        <v>Y</v>
      </c>
      <c r="P1640" s="1" t="str">
        <f t="shared" si="481"/>
        <v>Y</v>
      </c>
      <c r="Q1640" s="1" t="str">
        <f t="shared" si="478"/>
        <v>A</v>
      </c>
    </row>
    <row r="1641" spans="1:17" x14ac:dyDescent="0.3">
      <c r="A1641" s="1" t="str">
        <f t="shared" si="483"/>
        <v>JD</v>
      </c>
      <c r="B1641" s="1" t="str">
        <f>"UBIJD01"</f>
        <v>UBIJD01</v>
      </c>
      <c r="C1641" s="1" t="str">
        <f>"뇨중 빌리루빈 검출"</f>
        <v>뇨중 빌리루빈 검출</v>
      </c>
      <c r="D1641" s="1" t="str">
        <f>"소변에서 빌리루빈 성분이 검출됩니다. 간장질환이 있을 경우 나올 수 있으나 원인규명을 위해 상세한 상담 및 진료가 필요합니다. 내원하시어 상담하시거나 내과 진료를 권합니다."</f>
        <v>소변에서 빌리루빈 성분이 검출됩니다. 간장질환이 있을 경우 나올 수 있으나 원인규명을 위해 상세한 상담 및 진료가 필요합니다. 내원하시어 상담하시거나 내과 진료를 권합니다.</v>
      </c>
      <c r="E1641" s="1" t="str">
        <f>""</f>
        <v/>
      </c>
      <c r="F1641" s="1" t="str">
        <f>""</f>
        <v/>
      </c>
      <c r="G1641" s="1" t="str">
        <f>""</f>
        <v/>
      </c>
      <c r="H1641" s="1" t="str">
        <f>""</f>
        <v/>
      </c>
      <c r="I1641" s="1" t="str">
        <f>""</f>
        <v/>
      </c>
      <c r="J1641" s="1" t="str">
        <f>""</f>
        <v/>
      </c>
      <c r="K1641" s="1" t="str">
        <f>""</f>
        <v/>
      </c>
      <c r="L1641" s="1" t="str">
        <f t="shared" si="479"/>
        <v>R</v>
      </c>
      <c r="M1641" s="1" t="str">
        <f>""</f>
        <v/>
      </c>
      <c r="N1641" s="1" t="str">
        <f t="shared" si="480"/>
        <v>Y</v>
      </c>
      <c r="O1641" s="1" t="str">
        <f t="shared" si="477"/>
        <v>Y</v>
      </c>
      <c r="P1641" s="1" t="str">
        <f t="shared" si="481"/>
        <v>Y</v>
      </c>
      <c r="Q1641" s="1" t="str">
        <f t="shared" si="478"/>
        <v>A</v>
      </c>
    </row>
    <row r="1642" spans="1:17" x14ac:dyDescent="0.3">
      <c r="A1642" s="1" t="str">
        <f t="shared" si="483"/>
        <v>JD</v>
      </c>
      <c r="B1642" s="1" t="str">
        <f>"UKEJD01"</f>
        <v>UKEJD01</v>
      </c>
      <c r="C1642" s="1" t="str">
        <f>"뇨중 케톤 검출"</f>
        <v>뇨중 케톤 검출</v>
      </c>
      <c r="D1642" s="1" t="str">
        <f>"소변에서 케톤 성분이 검출됩니다. 원인규명을 위해 상세한 상담 및 진료가 필요합니다. 내원하시어 상담하시거나 내과 진료를 권합니다."</f>
        <v>소변에서 케톤 성분이 검출됩니다. 원인규명을 위해 상세한 상담 및 진료가 필요합니다. 내원하시어 상담하시거나 내과 진료를 권합니다.</v>
      </c>
      <c r="E1642" s="1" t="str">
        <f>""</f>
        <v/>
      </c>
      <c r="F1642" s="1" t="str">
        <f>""</f>
        <v/>
      </c>
      <c r="G1642" s="1" t="str">
        <f>""</f>
        <v/>
      </c>
      <c r="H1642" s="1" t="str">
        <f>""</f>
        <v/>
      </c>
      <c r="I1642" s="1" t="str">
        <f>""</f>
        <v/>
      </c>
      <c r="J1642" s="1" t="str">
        <f>""</f>
        <v/>
      </c>
      <c r="K1642" s="1" t="str">
        <f>""</f>
        <v/>
      </c>
      <c r="L1642" s="1" t="str">
        <f t="shared" si="479"/>
        <v>R</v>
      </c>
      <c r="M1642" s="1" t="str">
        <f>""</f>
        <v/>
      </c>
      <c r="N1642" s="1" t="str">
        <f t="shared" si="480"/>
        <v>Y</v>
      </c>
      <c r="O1642" s="1" t="str">
        <f t="shared" si="477"/>
        <v>Y</v>
      </c>
      <c r="P1642" s="1" t="str">
        <f t="shared" si="481"/>
        <v>Y</v>
      </c>
      <c r="Q1642" s="1" t="str">
        <f t="shared" si="478"/>
        <v>A</v>
      </c>
    </row>
    <row r="1643" spans="1:17" x14ac:dyDescent="0.3">
      <c r="A1643" s="1" t="str">
        <f t="shared" si="483"/>
        <v>JD</v>
      </c>
      <c r="B1643" s="1" t="str">
        <f>"UROJD01"</f>
        <v>UROJD01</v>
      </c>
      <c r="C1643" s="1" t="str">
        <f>"뇨중 유로비리노젠 검출"</f>
        <v>뇨중 유로비리노젠 검출</v>
      </c>
      <c r="D1643" s="1" t="str">
        <f>"소변에서 유로비리노젠 성분이 검출됩니다. 간장질환이 있을 경우 나올 수 있습니다. 원인규명을 위해 상세한 상담 및 진료가 필요합니다. 내원하시어 상담하시거나 내과 진료를 권합니다."</f>
        <v>소변에서 유로비리노젠 성분이 검출됩니다. 간장질환이 있을 경우 나올 수 있습니다. 원인규명을 위해 상세한 상담 및 진료가 필요합니다. 내원하시어 상담하시거나 내과 진료를 권합니다.</v>
      </c>
      <c r="E1643" s="1" t="str">
        <f>""</f>
        <v/>
      </c>
      <c r="F1643" s="1" t="str">
        <f>""</f>
        <v/>
      </c>
      <c r="G1643" s="1" t="str">
        <f>""</f>
        <v/>
      </c>
      <c r="H1643" s="1" t="str">
        <f>""</f>
        <v/>
      </c>
      <c r="I1643" s="1" t="str">
        <f>""</f>
        <v/>
      </c>
      <c r="J1643" s="1" t="str">
        <f>""</f>
        <v/>
      </c>
      <c r="K1643" s="1" t="str">
        <f>""</f>
        <v/>
      </c>
      <c r="L1643" s="1" t="str">
        <f t="shared" si="479"/>
        <v>R</v>
      </c>
      <c r="M1643" s="1" t="str">
        <f>""</f>
        <v/>
      </c>
      <c r="N1643" s="1" t="str">
        <f t="shared" si="480"/>
        <v>Y</v>
      </c>
      <c r="O1643" s="1" t="str">
        <f t="shared" si="477"/>
        <v>Y</v>
      </c>
      <c r="P1643" s="1" t="str">
        <f t="shared" si="481"/>
        <v>Y</v>
      </c>
      <c r="Q1643" s="1" t="str">
        <f t="shared" si="478"/>
        <v>A</v>
      </c>
    </row>
    <row r="1644" spans="1:17" x14ac:dyDescent="0.3">
      <c r="A1644" s="1" t="str">
        <f t="shared" si="483"/>
        <v>JD</v>
      </c>
      <c r="B1644" s="1" t="str">
        <f>"USRJD01"</f>
        <v>USRJD01</v>
      </c>
      <c r="C1644" s="1" t="str">
        <f>"혈뇨검출"</f>
        <v>혈뇨검출</v>
      </c>
      <c r="D1644" s="1" t="s">
        <v>490</v>
      </c>
      <c r="E1644" s="1" t="str">
        <f>""</f>
        <v/>
      </c>
      <c r="F1644" s="1" t="str">
        <f>""</f>
        <v/>
      </c>
      <c r="G1644" s="1" t="str">
        <f>""</f>
        <v/>
      </c>
      <c r="H1644" s="1" t="str">
        <f>""</f>
        <v/>
      </c>
      <c r="I1644" s="1" t="str">
        <f>""</f>
        <v/>
      </c>
      <c r="J1644" s="1" t="str">
        <f>""</f>
        <v/>
      </c>
      <c r="K1644" s="1" t="str">
        <f>""</f>
        <v/>
      </c>
      <c r="L1644" s="1" t="str">
        <f t="shared" si="479"/>
        <v>R</v>
      </c>
      <c r="M1644" s="1" t="str">
        <f>""</f>
        <v/>
      </c>
      <c r="N1644" s="1" t="str">
        <f t="shared" si="480"/>
        <v>Y</v>
      </c>
      <c r="O1644" s="1" t="str">
        <f t="shared" si="477"/>
        <v>Y</v>
      </c>
      <c r="P1644" s="1" t="str">
        <f t="shared" si="481"/>
        <v>Y</v>
      </c>
      <c r="Q1644" s="1" t="str">
        <f t="shared" si="478"/>
        <v>A</v>
      </c>
    </row>
    <row r="1645" spans="1:17" x14ac:dyDescent="0.3">
      <c r="A1645" s="1" t="str">
        <f t="shared" si="483"/>
        <v>JD</v>
      </c>
      <c r="B1645" s="1" t="str">
        <f>"USWJD01"</f>
        <v>USWJD01</v>
      </c>
      <c r="C1645" s="1" t="str">
        <f>"뇨중 백혈구검출"</f>
        <v>뇨중 백혈구검출</v>
      </c>
      <c r="D1645" s="1" t="str">
        <f>"소변검사 결과 백혈구가 검출됩니다. 소변에 백혈구가 검출되는 것은 비뇨기계의 염증이 있을 가능성이 있습니다. 원인규명을 위해 상담 및 진료가 필요합니다. 진료를 위해 내원하시기 바랍니다."</f>
        <v>소변검사 결과 백혈구가 검출됩니다. 소변에 백혈구가 검출되는 것은 비뇨기계의 염증이 있을 가능성이 있습니다. 원인규명을 위해 상담 및 진료가 필요합니다. 진료를 위해 내원하시기 바랍니다.</v>
      </c>
      <c r="E1645" s="1" t="str">
        <f>""</f>
        <v/>
      </c>
      <c r="F1645" s="1" t="str">
        <f>""</f>
        <v/>
      </c>
      <c r="G1645" s="1" t="str">
        <f>""</f>
        <v/>
      </c>
      <c r="H1645" s="1" t="str">
        <f>""</f>
        <v/>
      </c>
      <c r="I1645" s="1" t="str">
        <f>""</f>
        <v/>
      </c>
      <c r="J1645" s="1" t="str">
        <f>""</f>
        <v/>
      </c>
      <c r="K1645" s="1" t="str">
        <f>""</f>
        <v/>
      </c>
      <c r="L1645" s="1" t="str">
        <f t="shared" si="479"/>
        <v>R</v>
      </c>
      <c r="M1645" s="1" t="str">
        <f>""</f>
        <v/>
      </c>
      <c r="N1645" s="1" t="str">
        <f t="shared" si="480"/>
        <v>Y</v>
      </c>
      <c r="O1645" s="1" t="str">
        <f t="shared" si="477"/>
        <v>Y</v>
      </c>
      <c r="P1645" s="1" t="str">
        <f t="shared" si="481"/>
        <v>Y</v>
      </c>
      <c r="Q1645" s="1" t="str">
        <f t="shared" si="478"/>
        <v>A</v>
      </c>
    </row>
    <row r="1646" spans="1:17" x14ac:dyDescent="0.3">
      <c r="A1646" s="1" t="str">
        <f t="shared" ref="A1646:A1677" si="484">"R"</f>
        <v>R</v>
      </c>
      <c r="B1646" s="1" t="str">
        <f>"AAB301"</f>
        <v>AAB301</v>
      </c>
      <c r="C1646" s="1" t="str">
        <f>"부분적 검사 미실시"</f>
        <v>부분적 검사 미실시</v>
      </c>
      <c r="D1646" s="1" t="str">
        <f>"해당검사 실시바랍니다."</f>
        <v>해당검사 실시바랍니다.</v>
      </c>
      <c r="E1646" s="1" t="str">
        <f>""</f>
        <v/>
      </c>
      <c r="F1646" s="1" t="str">
        <f>""</f>
        <v/>
      </c>
      <c r="G1646" s="1" t="str">
        <f>""</f>
        <v/>
      </c>
      <c r="H1646" s="1" t="str">
        <f>""</f>
        <v/>
      </c>
      <c r="I1646" s="1" t="str">
        <f>""</f>
        <v/>
      </c>
      <c r="J1646" s="1" t="str">
        <f t="shared" ref="J1646:K1648" si="485">"S01R"</f>
        <v>S01R</v>
      </c>
      <c r="K1646" s="1" t="str">
        <f t="shared" si="485"/>
        <v>S01R</v>
      </c>
      <c r="L1646" s="1" t="str">
        <f t="shared" si="479"/>
        <v>R</v>
      </c>
      <c r="M1646" s="1" t="str">
        <f>""</f>
        <v/>
      </c>
      <c r="N1646" s="1" t="str">
        <f t="shared" si="480"/>
        <v>Y</v>
      </c>
      <c r="O1646" s="1" t="str">
        <f t="shared" si="477"/>
        <v>Y</v>
      </c>
      <c r="P1646" s="1" t="str">
        <f t="shared" si="481"/>
        <v>Y</v>
      </c>
      <c r="Q1646" s="1" t="str">
        <f t="shared" si="478"/>
        <v>A</v>
      </c>
    </row>
    <row r="1647" spans="1:17" x14ac:dyDescent="0.3">
      <c r="A1647" s="1" t="str">
        <f t="shared" si="484"/>
        <v>R</v>
      </c>
      <c r="B1647" s="1" t="str">
        <f>"AAB302"</f>
        <v>AAB302</v>
      </c>
      <c r="C1647" s="1" t="str">
        <f>"소변 검사 미실시"</f>
        <v>소변 검사 미실시</v>
      </c>
      <c r="D1647" s="1" t="str">
        <f>"해당검사 실시바랍니다."</f>
        <v>해당검사 실시바랍니다.</v>
      </c>
      <c r="E1647" s="1" t="str">
        <f>""</f>
        <v/>
      </c>
      <c r="F1647" s="1" t="str">
        <f>""</f>
        <v/>
      </c>
      <c r="G1647" s="1" t="str">
        <f>""</f>
        <v/>
      </c>
      <c r="H1647" s="1" t="str">
        <f>""</f>
        <v/>
      </c>
      <c r="I1647" s="1" t="str">
        <f>""</f>
        <v/>
      </c>
      <c r="J1647" s="1" t="str">
        <f t="shared" si="485"/>
        <v>S01R</v>
      </c>
      <c r="K1647" s="1" t="str">
        <f t="shared" si="485"/>
        <v>S01R</v>
      </c>
      <c r="L1647" s="1" t="str">
        <f t="shared" si="479"/>
        <v>R</v>
      </c>
      <c r="M1647" s="1" t="str">
        <f>""</f>
        <v/>
      </c>
      <c r="N1647" s="1" t="str">
        <f t="shared" si="480"/>
        <v>Y</v>
      </c>
      <c r="O1647" s="1" t="str">
        <f t="shared" si="477"/>
        <v>Y</v>
      </c>
      <c r="P1647" s="1" t="str">
        <f t="shared" si="481"/>
        <v>Y</v>
      </c>
      <c r="Q1647" s="1" t="str">
        <f t="shared" si="478"/>
        <v>A</v>
      </c>
    </row>
    <row r="1648" spans="1:17" x14ac:dyDescent="0.3">
      <c r="A1648" s="1" t="str">
        <f t="shared" si="484"/>
        <v>R</v>
      </c>
      <c r="B1648" s="1" t="str">
        <f>"AAB304"</f>
        <v>AAB304</v>
      </c>
      <c r="C1648" s="1" t="str">
        <f>"생물학적 노출지표 초과"</f>
        <v>생물학적 노출지표 초과</v>
      </c>
      <c r="D1648" s="1" t="str">
        <f>"생물학적 노출지표 검사 결과 정상참고치를 초과하였습니다. 2차 검진이 필요합니다."</f>
        <v>생물학적 노출지표 검사 결과 정상참고치를 초과하였습니다. 2차 검진이 필요합니다.</v>
      </c>
      <c r="E1648" s="1" t="str">
        <f>""</f>
        <v/>
      </c>
      <c r="F1648" s="1" t="str">
        <f>""</f>
        <v/>
      </c>
      <c r="G1648" s="1" t="str">
        <f>""</f>
        <v/>
      </c>
      <c r="H1648" s="1" t="str">
        <f>""</f>
        <v/>
      </c>
      <c r="I1648" s="1" t="str">
        <f>""</f>
        <v/>
      </c>
      <c r="J1648" s="1" t="str">
        <f t="shared" si="485"/>
        <v>S01R</v>
      </c>
      <c r="K1648" s="1" t="str">
        <f t="shared" si="485"/>
        <v>S01R</v>
      </c>
      <c r="L1648" s="1" t="str">
        <f t="shared" si="479"/>
        <v>R</v>
      </c>
      <c r="M1648" s="1" t="str">
        <f>"T12"</f>
        <v>T12</v>
      </c>
      <c r="N1648" s="1" t="str">
        <f t="shared" si="480"/>
        <v>Y</v>
      </c>
      <c r="O1648" s="1" t="str">
        <f t="shared" si="477"/>
        <v>Y</v>
      </c>
      <c r="P1648" s="1" t="str">
        <f t="shared" si="481"/>
        <v>Y</v>
      </c>
      <c r="Q1648" s="1" t="str">
        <f t="shared" si="478"/>
        <v>A</v>
      </c>
    </row>
    <row r="1649" spans="1:17" x14ac:dyDescent="0.3">
      <c r="A1649" s="1" t="str">
        <f t="shared" si="484"/>
        <v>R</v>
      </c>
      <c r="B1649" s="1" t="str">
        <f>"ALF501"</f>
        <v>ALF501</v>
      </c>
      <c r="C1649" s="1" t="str">
        <f>"후각장애의심"</f>
        <v>후각장애의심</v>
      </c>
      <c r="D1649" s="1" t="str">
        <f>"후각장애에 대한 정밀검사요함"</f>
        <v>후각장애에 대한 정밀검사요함</v>
      </c>
      <c r="E1649" s="1" t="str">
        <f>""</f>
        <v/>
      </c>
      <c r="F1649" s="1" t="str">
        <f>""</f>
        <v/>
      </c>
      <c r="G1649" s="1" t="str">
        <f>"DISG"</f>
        <v>DISG</v>
      </c>
      <c r="H1649" s="1" t="str">
        <f>"REL31"</f>
        <v>REL31</v>
      </c>
      <c r="I1649" s="1" t="str">
        <f>"N0127"</f>
        <v>N0127</v>
      </c>
      <c r="J1649" s="1" t="str">
        <f>"C37R"</f>
        <v>C37R</v>
      </c>
      <c r="K1649" s="1" t="str">
        <f>"C37R"</f>
        <v>C37R</v>
      </c>
      <c r="L1649" s="1" t="str">
        <f t="shared" si="479"/>
        <v>R</v>
      </c>
      <c r="M1649" s="1" t="str">
        <f>"T10"</f>
        <v>T10</v>
      </c>
      <c r="N1649" s="1" t="str">
        <f t="shared" si="480"/>
        <v>Y</v>
      </c>
      <c r="O1649" s="1" t="str">
        <f t="shared" si="477"/>
        <v>Y</v>
      </c>
      <c r="P1649" s="1" t="str">
        <f t="shared" si="481"/>
        <v>Y</v>
      </c>
      <c r="Q1649" s="1" t="str">
        <f t="shared" si="478"/>
        <v>A</v>
      </c>
    </row>
    <row r="1650" spans="1:17" x14ac:dyDescent="0.3">
      <c r="A1650" s="1" t="str">
        <f t="shared" si="484"/>
        <v>R</v>
      </c>
      <c r="B1650" s="1" t="str">
        <f>"ANE404"</f>
        <v>ANE404</v>
      </c>
      <c r="C1650" s="1" t="str">
        <f t="shared" ref="C1650:C1656" si="486">"빈혈의심"</f>
        <v>빈혈의심</v>
      </c>
      <c r="D1650" s="1" t="str">
        <f>"여러 원인에 의해 빈혈이 올 수 있습니다. 2차검사(재검) 시행하시고 결과를 확인하세요."</f>
        <v>여러 원인에 의해 빈혈이 올 수 있습니다. 2차검사(재검) 시행하시고 결과를 확인하세요.</v>
      </c>
      <c r="E1650" s="1" t="str">
        <f>""</f>
        <v/>
      </c>
      <c r="F1650" s="1" t="str">
        <f>""</f>
        <v/>
      </c>
      <c r="G1650" s="1" t="str">
        <f t="shared" ref="G1650:G1656" si="487">"DISD"</f>
        <v>DISD</v>
      </c>
      <c r="H1650" s="1" t="str">
        <f t="shared" ref="H1650:H1656" si="488">"REL12"</f>
        <v>REL12</v>
      </c>
      <c r="I1650" s="1" t="str">
        <f>""</f>
        <v/>
      </c>
      <c r="J1650" s="1" t="str">
        <f t="shared" ref="J1650:K1656" si="489">"C08R"</f>
        <v>C08R</v>
      </c>
      <c r="K1650" s="1" t="str">
        <f t="shared" si="489"/>
        <v>C08R</v>
      </c>
      <c r="L1650" s="1" t="str">
        <f t="shared" si="479"/>
        <v>R</v>
      </c>
      <c r="M1650" s="1" t="str">
        <f t="shared" ref="M1650:M1656" si="490">"T01"</f>
        <v>T01</v>
      </c>
      <c r="N1650" s="1" t="str">
        <f t="shared" si="480"/>
        <v>Y</v>
      </c>
      <c r="O1650" s="1" t="str">
        <f t="shared" si="477"/>
        <v>Y</v>
      </c>
      <c r="P1650" s="1" t="str">
        <f t="shared" si="481"/>
        <v>Y</v>
      </c>
      <c r="Q1650" s="1" t="str">
        <f t="shared" si="478"/>
        <v>A</v>
      </c>
    </row>
    <row r="1651" spans="1:17" x14ac:dyDescent="0.3">
      <c r="A1651" s="1" t="str">
        <f t="shared" si="484"/>
        <v>R</v>
      </c>
      <c r="B1651" s="1" t="str">
        <f>"ANE4041"</f>
        <v>ANE4041</v>
      </c>
      <c r="C1651" s="1" t="str">
        <f t="shared" si="486"/>
        <v>빈혈의심</v>
      </c>
      <c r="D1651" s="1" t="str">
        <f>"2차검사(재검) 필요 (특수검진)"</f>
        <v>2차검사(재검) 필요 (특수검진)</v>
      </c>
      <c r="E1651" s="1" t="str">
        <f>""</f>
        <v/>
      </c>
      <c r="F1651" s="1" t="str">
        <f>""</f>
        <v/>
      </c>
      <c r="G1651" s="1" t="str">
        <f t="shared" si="487"/>
        <v>DISD</v>
      </c>
      <c r="H1651" s="1" t="str">
        <f t="shared" si="488"/>
        <v>REL12</v>
      </c>
      <c r="I1651" s="1" t="str">
        <f>""</f>
        <v/>
      </c>
      <c r="J1651" s="1" t="str">
        <f t="shared" si="489"/>
        <v>C08R</v>
      </c>
      <c r="K1651" s="1" t="str">
        <f t="shared" si="489"/>
        <v>C08R</v>
      </c>
      <c r="L1651" s="1" t="str">
        <f t="shared" si="479"/>
        <v>R</v>
      </c>
      <c r="M1651" s="1" t="str">
        <f t="shared" si="490"/>
        <v>T01</v>
      </c>
      <c r="N1651" s="1" t="str">
        <f t="shared" si="480"/>
        <v>Y</v>
      </c>
      <c r="O1651" s="1" t="str">
        <f t="shared" si="477"/>
        <v>Y</v>
      </c>
      <c r="P1651" s="1" t="str">
        <f t="shared" si="481"/>
        <v>Y</v>
      </c>
      <c r="Q1651" s="1" t="str">
        <f t="shared" si="478"/>
        <v>A</v>
      </c>
    </row>
    <row r="1652" spans="1:17" x14ac:dyDescent="0.3">
      <c r="A1652" s="1" t="str">
        <f t="shared" si="484"/>
        <v>R</v>
      </c>
      <c r="B1652" s="1" t="str">
        <f>"ANE4042"</f>
        <v>ANE4042</v>
      </c>
      <c r="C1652" s="1" t="str">
        <f t="shared" si="486"/>
        <v>빈혈의심</v>
      </c>
      <c r="D1652" s="1" t="str">
        <f>"2차검사(재검) 필요 (특수검진)"</f>
        <v>2차검사(재검) 필요 (특수검진)</v>
      </c>
      <c r="E1652" s="1" t="str">
        <f>""</f>
        <v/>
      </c>
      <c r="F1652" s="1" t="str">
        <f>""</f>
        <v/>
      </c>
      <c r="G1652" s="1" t="str">
        <f t="shared" si="487"/>
        <v>DISD</v>
      </c>
      <c r="H1652" s="1" t="str">
        <f t="shared" si="488"/>
        <v>REL12</v>
      </c>
      <c r="I1652" s="1" t="str">
        <f>""</f>
        <v/>
      </c>
      <c r="J1652" s="1" t="str">
        <f t="shared" si="489"/>
        <v>C08R</v>
      </c>
      <c r="K1652" s="1" t="str">
        <f t="shared" si="489"/>
        <v>C08R</v>
      </c>
      <c r="L1652" s="1" t="str">
        <f t="shared" si="479"/>
        <v>R</v>
      </c>
      <c r="M1652" s="1" t="str">
        <f t="shared" si="490"/>
        <v>T01</v>
      </c>
      <c r="N1652" s="1" t="str">
        <f t="shared" si="480"/>
        <v>Y</v>
      </c>
      <c r="O1652" s="1" t="str">
        <f t="shared" si="477"/>
        <v>Y</v>
      </c>
      <c r="P1652" s="1" t="str">
        <f t="shared" si="481"/>
        <v>Y</v>
      </c>
      <c r="Q1652" s="1" t="str">
        <f t="shared" si="478"/>
        <v>A</v>
      </c>
    </row>
    <row r="1653" spans="1:17" x14ac:dyDescent="0.3">
      <c r="A1653" s="1" t="str">
        <f t="shared" si="484"/>
        <v>R</v>
      </c>
      <c r="B1653" s="1" t="str">
        <f>"ANE4043"</f>
        <v>ANE4043</v>
      </c>
      <c r="C1653" s="1" t="str">
        <f t="shared" si="486"/>
        <v>빈혈의심</v>
      </c>
      <c r="D1653" s="1" t="str">
        <f>"2차검사(재검) 필요 (특수검진)"</f>
        <v>2차검사(재검) 필요 (특수검진)</v>
      </c>
      <c r="E1653" s="1" t="str">
        <f>""</f>
        <v/>
      </c>
      <c r="F1653" s="1" t="str">
        <f>""</f>
        <v/>
      </c>
      <c r="G1653" s="1" t="str">
        <f t="shared" si="487"/>
        <v>DISD</v>
      </c>
      <c r="H1653" s="1" t="str">
        <f t="shared" si="488"/>
        <v>REL12</v>
      </c>
      <c r="I1653" s="1" t="str">
        <f>""</f>
        <v/>
      </c>
      <c r="J1653" s="1" t="str">
        <f t="shared" si="489"/>
        <v>C08R</v>
      </c>
      <c r="K1653" s="1" t="str">
        <f t="shared" si="489"/>
        <v>C08R</v>
      </c>
      <c r="L1653" s="1" t="str">
        <f t="shared" si="479"/>
        <v>R</v>
      </c>
      <c r="M1653" s="1" t="str">
        <f t="shared" si="490"/>
        <v>T01</v>
      </c>
      <c r="N1653" s="1" t="str">
        <f t="shared" si="480"/>
        <v>Y</v>
      </c>
      <c r="O1653" s="1" t="str">
        <f t="shared" si="477"/>
        <v>Y</v>
      </c>
      <c r="P1653" s="1" t="str">
        <f t="shared" si="481"/>
        <v>Y</v>
      </c>
      <c r="Q1653" s="1" t="str">
        <f t="shared" si="478"/>
        <v>A</v>
      </c>
    </row>
    <row r="1654" spans="1:17" x14ac:dyDescent="0.3">
      <c r="A1654" s="1" t="str">
        <f t="shared" si="484"/>
        <v>R</v>
      </c>
      <c r="B1654" s="1" t="str">
        <f>"ANE4044"</f>
        <v>ANE4044</v>
      </c>
      <c r="C1654" s="1" t="str">
        <f t="shared" si="486"/>
        <v>빈혈의심</v>
      </c>
      <c r="D1654" s="1" t="str">
        <f>"2차검사(재검) 필요 (특수검진)"</f>
        <v>2차검사(재검) 필요 (특수검진)</v>
      </c>
      <c r="E1654" s="1" t="str">
        <f>""</f>
        <v/>
      </c>
      <c r="F1654" s="1" t="str">
        <f>""</f>
        <v/>
      </c>
      <c r="G1654" s="1" t="str">
        <f t="shared" si="487"/>
        <v>DISD</v>
      </c>
      <c r="H1654" s="1" t="str">
        <f t="shared" si="488"/>
        <v>REL12</v>
      </c>
      <c r="I1654" s="1" t="str">
        <f>""</f>
        <v/>
      </c>
      <c r="J1654" s="1" t="str">
        <f t="shared" si="489"/>
        <v>C08R</v>
      </c>
      <c r="K1654" s="1" t="str">
        <f t="shared" si="489"/>
        <v>C08R</v>
      </c>
      <c r="L1654" s="1" t="str">
        <f t="shared" si="479"/>
        <v>R</v>
      </c>
      <c r="M1654" s="1" t="str">
        <f t="shared" si="490"/>
        <v>T01</v>
      </c>
      <c r="N1654" s="1" t="str">
        <f t="shared" si="480"/>
        <v>Y</v>
      </c>
      <c r="O1654" s="1" t="str">
        <f t="shared" si="477"/>
        <v>Y</v>
      </c>
      <c r="P1654" s="1" t="str">
        <f t="shared" si="481"/>
        <v>Y</v>
      </c>
      <c r="Q1654" s="1" t="str">
        <f t="shared" si="478"/>
        <v>A</v>
      </c>
    </row>
    <row r="1655" spans="1:17" x14ac:dyDescent="0.3">
      <c r="A1655" s="1" t="str">
        <f t="shared" si="484"/>
        <v>R</v>
      </c>
      <c r="B1655" s="1" t="str">
        <f>"ANE4045"</f>
        <v>ANE4045</v>
      </c>
      <c r="C1655" s="1" t="str">
        <f t="shared" si="486"/>
        <v>빈혈의심</v>
      </c>
      <c r="D1655" s="1" t="str">
        <f>"2차검사(재검) 필요 (특수검진)"</f>
        <v>2차검사(재검) 필요 (특수검진)</v>
      </c>
      <c r="E1655" s="1" t="str">
        <f>""</f>
        <v/>
      </c>
      <c r="F1655" s="1" t="str">
        <f>""</f>
        <v/>
      </c>
      <c r="G1655" s="1" t="str">
        <f t="shared" si="487"/>
        <v>DISD</v>
      </c>
      <c r="H1655" s="1" t="str">
        <f t="shared" si="488"/>
        <v>REL12</v>
      </c>
      <c r="I1655" s="1" t="str">
        <f>""</f>
        <v/>
      </c>
      <c r="J1655" s="1" t="str">
        <f t="shared" si="489"/>
        <v>C08R</v>
      </c>
      <c r="K1655" s="1" t="str">
        <f t="shared" si="489"/>
        <v>C08R</v>
      </c>
      <c r="L1655" s="1" t="str">
        <f t="shared" si="479"/>
        <v>R</v>
      </c>
      <c r="M1655" s="1" t="str">
        <f t="shared" si="490"/>
        <v>T01</v>
      </c>
      <c r="N1655" s="1" t="str">
        <f t="shared" si="480"/>
        <v>Y</v>
      </c>
      <c r="O1655" s="1" t="str">
        <f t="shared" si="477"/>
        <v>Y</v>
      </c>
      <c r="P1655" s="1" t="str">
        <f t="shared" si="481"/>
        <v>Y</v>
      </c>
      <c r="Q1655" s="1" t="str">
        <f t="shared" si="478"/>
        <v>A</v>
      </c>
    </row>
    <row r="1656" spans="1:17" x14ac:dyDescent="0.3">
      <c r="A1656" s="1" t="str">
        <f t="shared" si="484"/>
        <v>R</v>
      </c>
      <c r="B1656" s="1" t="str">
        <f>"ANE502"</f>
        <v>ANE502</v>
      </c>
      <c r="C1656" s="1" t="str">
        <f t="shared" si="486"/>
        <v>빈혈의심</v>
      </c>
      <c r="D1656" s="1" t="str">
        <f>"빈혈에 대한 정밀검사를 받으세요."</f>
        <v>빈혈에 대한 정밀검사를 받으세요.</v>
      </c>
      <c r="E1656" s="1" t="str">
        <f>""</f>
        <v/>
      </c>
      <c r="F1656" s="1" t="str">
        <f>""</f>
        <v/>
      </c>
      <c r="G1656" s="1" t="str">
        <f t="shared" si="487"/>
        <v>DISD</v>
      </c>
      <c r="H1656" s="1" t="str">
        <f t="shared" si="488"/>
        <v>REL12</v>
      </c>
      <c r="I1656" s="1" t="str">
        <f>""</f>
        <v/>
      </c>
      <c r="J1656" s="1" t="str">
        <f t="shared" si="489"/>
        <v>C08R</v>
      </c>
      <c r="K1656" s="1" t="str">
        <f t="shared" si="489"/>
        <v>C08R</v>
      </c>
      <c r="L1656" s="1" t="str">
        <f t="shared" si="479"/>
        <v>R</v>
      </c>
      <c r="M1656" s="1" t="str">
        <f t="shared" si="490"/>
        <v>T01</v>
      </c>
      <c r="N1656" s="1" t="str">
        <f t="shared" si="480"/>
        <v>Y</v>
      </c>
      <c r="O1656" s="1" t="str">
        <f t="shared" si="477"/>
        <v>Y</v>
      </c>
      <c r="P1656" s="1" t="str">
        <f t="shared" si="481"/>
        <v>Y</v>
      </c>
      <c r="Q1656" s="1" t="str">
        <f t="shared" si="478"/>
        <v>A</v>
      </c>
    </row>
    <row r="1657" spans="1:17" x14ac:dyDescent="0.3">
      <c r="A1657" s="1" t="str">
        <f t="shared" si="484"/>
        <v>R</v>
      </c>
      <c r="B1657" s="1" t="str">
        <f>"ASM501"</f>
        <v>ASM501</v>
      </c>
      <c r="C1657" s="1" t="str">
        <f>"천식의심"</f>
        <v>천식의심</v>
      </c>
      <c r="D1657" s="1" t="str">
        <f>"천식이 의심되므로 정밀검사를 받으세요."</f>
        <v>천식이 의심되므로 정밀검사를 받으세요.</v>
      </c>
      <c r="E1657" s="1" t="str">
        <f>""</f>
        <v/>
      </c>
      <c r="F1657" s="1" t="str">
        <f>"PTM03"</f>
        <v>PTM03</v>
      </c>
      <c r="G1657" s="1" t="str">
        <f>"DISJ"</f>
        <v>DISJ</v>
      </c>
      <c r="H1657" s="1" t="str">
        <f>"REL15"</f>
        <v>REL15</v>
      </c>
      <c r="I1657" s="1" t="str">
        <f>""</f>
        <v/>
      </c>
      <c r="J1657" s="1" t="str">
        <f>"C40R"</f>
        <v>C40R</v>
      </c>
      <c r="K1657" s="1" t="str">
        <f>"C40R"</f>
        <v>C40R</v>
      </c>
      <c r="L1657" s="1" t="str">
        <f t="shared" si="479"/>
        <v>R</v>
      </c>
      <c r="M1657" s="1" t="str">
        <f>"T04"</f>
        <v>T04</v>
      </c>
      <c r="N1657" s="1" t="str">
        <f t="shared" si="480"/>
        <v>Y</v>
      </c>
      <c r="O1657" s="1" t="str">
        <f t="shared" si="477"/>
        <v>Y</v>
      </c>
      <c r="P1657" s="1" t="str">
        <f t="shared" si="481"/>
        <v>Y</v>
      </c>
      <c r="Q1657" s="1" t="str">
        <f t="shared" si="478"/>
        <v>A</v>
      </c>
    </row>
    <row r="1658" spans="1:17" x14ac:dyDescent="0.3">
      <c r="A1658" s="1" t="str">
        <f t="shared" si="484"/>
        <v>R</v>
      </c>
      <c r="B1658" s="1" t="str">
        <f>"BEI104"</f>
        <v>BEI104</v>
      </c>
      <c r="C1658" s="1" t="str">
        <f>"카드뮴 과폭로 의심"</f>
        <v>카드뮴 과폭로 의심</v>
      </c>
      <c r="D1658" s="1" t="str">
        <f>"카드뮴 과폭로 의심으로 2차 정밀검사 대상자 입니다"</f>
        <v>카드뮴 과폭로 의심으로 2차 정밀검사 대상자 입니다</v>
      </c>
      <c r="E1658" s="1" t="str">
        <f>""</f>
        <v/>
      </c>
      <c r="F1658" s="1" t="str">
        <f>""</f>
        <v/>
      </c>
      <c r="G1658" s="1" t="str">
        <f>"DIS308"</f>
        <v>DIS308</v>
      </c>
      <c r="H1658" s="1" t="str">
        <f>"REL16"</f>
        <v>REL16</v>
      </c>
      <c r="I1658" s="1" t="str">
        <f>"N0125"</f>
        <v>N0125</v>
      </c>
      <c r="J1658" s="1" t="str">
        <f t="shared" ref="J1658:K1671" si="491">"S01R"</f>
        <v>S01R</v>
      </c>
      <c r="K1658" s="1" t="str">
        <f t="shared" si="491"/>
        <v>S01R</v>
      </c>
      <c r="L1658" s="1" t="str">
        <f t="shared" si="479"/>
        <v>R</v>
      </c>
      <c r="M1658" s="1" t="str">
        <f t="shared" ref="M1658:M1664" si="492">"T12"</f>
        <v>T12</v>
      </c>
      <c r="N1658" s="1" t="str">
        <f t="shared" si="480"/>
        <v>Y</v>
      </c>
      <c r="O1658" s="1" t="str">
        <f t="shared" ref="O1658:O1721" si="493">"Y"</f>
        <v>Y</v>
      </c>
      <c r="P1658" s="1" t="str">
        <f t="shared" si="481"/>
        <v>Y</v>
      </c>
      <c r="Q1658" s="1" t="str">
        <f t="shared" si="478"/>
        <v>A</v>
      </c>
    </row>
    <row r="1659" spans="1:17" x14ac:dyDescent="0.3">
      <c r="A1659" s="1" t="str">
        <f t="shared" si="484"/>
        <v>R</v>
      </c>
      <c r="B1659" s="1" t="str">
        <f>"BEI211"</f>
        <v>BEI211</v>
      </c>
      <c r="C1659" s="1" t="str">
        <f>"크실렌 과폭로 의심"</f>
        <v>크실렌 과폭로 의심</v>
      </c>
      <c r="D1659" s="1" t="str">
        <f>"요중 메틸마뇨산 재검사 받으세요."</f>
        <v>요중 메틸마뇨산 재검사 받으세요.</v>
      </c>
      <c r="E1659" s="1" t="str">
        <f>""</f>
        <v/>
      </c>
      <c r="F1659" s="1" t="str">
        <f>""</f>
        <v/>
      </c>
      <c r="G1659" s="1" t="str">
        <f>"DIS213"</f>
        <v>DIS213</v>
      </c>
      <c r="H1659" s="1" t="str">
        <f t="shared" ref="H1659:H1671" si="494">"REL17"</f>
        <v>REL17</v>
      </c>
      <c r="I1659" s="1" t="str">
        <f>"N0083"</f>
        <v>N0083</v>
      </c>
      <c r="J1659" s="1" t="str">
        <f t="shared" si="491"/>
        <v>S01R</v>
      </c>
      <c r="K1659" s="1" t="str">
        <f t="shared" si="491"/>
        <v>S01R</v>
      </c>
      <c r="L1659" s="1" t="str">
        <f t="shared" si="479"/>
        <v>R</v>
      </c>
      <c r="M1659" s="1" t="str">
        <f t="shared" si="492"/>
        <v>T12</v>
      </c>
      <c r="N1659" s="1" t="str">
        <f t="shared" si="480"/>
        <v>Y</v>
      </c>
      <c r="O1659" s="1" t="str">
        <f t="shared" si="493"/>
        <v>Y</v>
      </c>
      <c r="P1659" s="1" t="str">
        <f t="shared" si="481"/>
        <v>Y</v>
      </c>
      <c r="Q1659" s="1" t="str">
        <f t="shared" si="478"/>
        <v>A</v>
      </c>
    </row>
    <row r="1660" spans="1:17" x14ac:dyDescent="0.3">
      <c r="A1660" s="1" t="str">
        <f t="shared" si="484"/>
        <v>R</v>
      </c>
      <c r="B1660" s="1" t="str">
        <f>"BEI215"</f>
        <v>BEI215</v>
      </c>
      <c r="C1660" s="1" t="str">
        <f>"노말헥산 과폭로 의심"</f>
        <v>노말헥산 과폭로 의심</v>
      </c>
      <c r="D1660" s="1" t="str">
        <f>"2차 정밀검사 대상자 입니다"</f>
        <v>2차 정밀검사 대상자 입니다</v>
      </c>
      <c r="E1660" s="1" t="str">
        <f>""</f>
        <v/>
      </c>
      <c r="F1660" s="1" t="str">
        <f>""</f>
        <v/>
      </c>
      <c r="G1660" s="1" t="str">
        <f>"DIS201"</f>
        <v>DIS201</v>
      </c>
      <c r="H1660" s="1" t="str">
        <f t="shared" si="494"/>
        <v>REL17</v>
      </c>
      <c r="I1660" s="1" t="str">
        <f>"N0106"</f>
        <v>N0106</v>
      </c>
      <c r="J1660" s="1" t="str">
        <f t="shared" si="491"/>
        <v>S01R</v>
      </c>
      <c r="K1660" s="1" t="str">
        <f t="shared" si="491"/>
        <v>S01R</v>
      </c>
      <c r="L1660" s="1" t="str">
        <f t="shared" si="479"/>
        <v>R</v>
      </c>
      <c r="M1660" s="1" t="str">
        <f t="shared" si="492"/>
        <v>T12</v>
      </c>
      <c r="N1660" s="1" t="str">
        <f t="shared" si="480"/>
        <v>Y</v>
      </c>
      <c r="O1660" s="1" t="str">
        <f t="shared" si="493"/>
        <v>Y</v>
      </c>
      <c r="P1660" s="1" t="str">
        <f t="shared" si="481"/>
        <v>Y</v>
      </c>
      <c r="Q1660" s="1" t="str">
        <f t="shared" ref="Q1660:Q1723" si="495">"A"</f>
        <v>A</v>
      </c>
    </row>
    <row r="1661" spans="1:17" x14ac:dyDescent="0.3">
      <c r="A1661" s="1" t="str">
        <f t="shared" si="484"/>
        <v>R</v>
      </c>
      <c r="B1661" s="1" t="str">
        <f>"BEI500"</f>
        <v>BEI500</v>
      </c>
      <c r="C1661" s="1" t="str">
        <f>"톨루엔 과폭로 의심"</f>
        <v>톨루엔 과폭로 의심</v>
      </c>
      <c r="D1661" s="1" t="str">
        <f>"요중 마뇨산 재검사 받으세요."</f>
        <v>요중 마뇨산 재검사 받으세요.</v>
      </c>
      <c r="E1661" s="1" t="str">
        <f>""</f>
        <v/>
      </c>
      <c r="F1661" s="1" t="str">
        <f>""</f>
        <v/>
      </c>
      <c r="G1661" s="1" t="str">
        <f>"DIS215"</f>
        <v>DIS215</v>
      </c>
      <c r="H1661" s="1" t="str">
        <f t="shared" si="494"/>
        <v>REL17</v>
      </c>
      <c r="I1661" s="1" t="str">
        <f>"N0010"</f>
        <v>N0010</v>
      </c>
      <c r="J1661" s="1" t="str">
        <f t="shared" si="491"/>
        <v>S01R</v>
      </c>
      <c r="K1661" s="1" t="str">
        <f t="shared" si="491"/>
        <v>S01R</v>
      </c>
      <c r="L1661" s="1" t="str">
        <f t="shared" si="479"/>
        <v>R</v>
      </c>
      <c r="M1661" s="1" t="str">
        <f t="shared" si="492"/>
        <v>T12</v>
      </c>
      <c r="N1661" s="1" t="str">
        <f t="shared" si="480"/>
        <v>Y</v>
      </c>
      <c r="O1661" s="1" t="str">
        <f t="shared" si="493"/>
        <v>Y</v>
      </c>
      <c r="P1661" s="1" t="str">
        <f t="shared" si="481"/>
        <v>Y</v>
      </c>
      <c r="Q1661" s="1" t="str">
        <f t="shared" si="495"/>
        <v>A</v>
      </c>
    </row>
    <row r="1662" spans="1:17" x14ac:dyDescent="0.3">
      <c r="A1662" s="1" t="str">
        <f t="shared" si="484"/>
        <v>R</v>
      </c>
      <c r="B1662" s="1" t="str">
        <f>"BEI501"</f>
        <v>BEI501</v>
      </c>
      <c r="C1662" s="1" t="str">
        <f>"스틸렌 과폭로 의심"</f>
        <v>스틸렌 과폭로 의심</v>
      </c>
      <c r="D1662" s="1" t="str">
        <f>"스틸렌 과폭로 의심으로 2차 정밀검사 대상자 입니다"</f>
        <v>스틸렌 과폭로 의심으로 2차 정밀검사 대상자 입니다</v>
      </c>
      <c r="E1662" s="1" t="str">
        <f>""</f>
        <v/>
      </c>
      <c r="F1662" s="1" t="str">
        <f>""</f>
        <v/>
      </c>
      <c r="G1662" s="1" t="str">
        <f>"DIS299"</f>
        <v>DIS299</v>
      </c>
      <c r="H1662" s="1" t="str">
        <f t="shared" si="494"/>
        <v>REL17</v>
      </c>
      <c r="I1662" s="1" t="str">
        <f>"N0050"</f>
        <v>N0050</v>
      </c>
      <c r="J1662" s="1" t="str">
        <f t="shared" si="491"/>
        <v>S01R</v>
      </c>
      <c r="K1662" s="1" t="str">
        <f t="shared" si="491"/>
        <v>S01R</v>
      </c>
      <c r="L1662" s="1" t="str">
        <f t="shared" si="479"/>
        <v>R</v>
      </c>
      <c r="M1662" s="1" t="str">
        <f t="shared" si="492"/>
        <v>T12</v>
      </c>
      <c r="N1662" s="1" t="str">
        <f t="shared" si="480"/>
        <v>Y</v>
      </c>
      <c r="O1662" s="1" t="str">
        <f t="shared" si="493"/>
        <v>Y</v>
      </c>
      <c r="P1662" s="1" t="str">
        <f t="shared" si="481"/>
        <v>Y</v>
      </c>
      <c r="Q1662" s="1" t="str">
        <f t="shared" si="495"/>
        <v>A</v>
      </c>
    </row>
    <row r="1663" spans="1:17" x14ac:dyDescent="0.3">
      <c r="A1663" s="1" t="str">
        <f t="shared" si="484"/>
        <v>R</v>
      </c>
      <c r="B1663" s="1" t="str">
        <f>"BEI503"</f>
        <v>BEI503</v>
      </c>
      <c r="C1663" s="1" t="str">
        <f>"낮은 요중 크레아티닌"</f>
        <v>낮은 요중 크레아티닌</v>
      </c>
      <c r="D1663" s="1" t="str">
        <f>"소변이 희석되어 소변에 대한 재검사가 필요합니다."</f>
        <v>소변이 희석되어 소변에 대한 재검사가 필요합니다.</v>
      </c>
      <c r="E1663" s="1" t="str">
        <f>""</f>
        <v/>
      </c>
      <c r="F1663" s="1" t="str">
        <f>""</f>
        <v/>
      </c>
      <c r="G1663" s="1" t="str">
        <f>""</f>
        <v/>
      </c>
      <c r="H1663" s="1" t="str">
        <f t="shared" si="494"/>
        <v>REL17</v>
      </c>
      <c r="I1663" s="1" t="str">
        <f>""</f>
        <v/>
      </c>
      <c r="J1663" s="1" t="str">
        <f t="shared" si="491"/>
        <v>S01R</v>
      </c>
      <c r="K1663" s="1" t="str">
        <f t="shared" si="491"/>
        <v>S01R</v>
      </c>
      <c r="L1663" s="1" t="str">
        <f t="shared" si="479"/>
        <v>R</v>
      </c>
      <c r="M1663" s="1" t="str">
        <f t="shared" si="492"/>
        <v>T12</v>
      </c>
      <c r="N1663" s="1" t="str">
        <f t="shared" si="480"/>
        <v>Y</v>
      </c>
      <c r="O1663" s="1" t="str">
        <f t="shared" si="493"/>
        <v>Y</v>
      </c>
      <c r="P1663" s="1" t="str">
        <f t="shared" si="481"/>
        <v>Y</v>
      </c>
      <c r="Q1663" s="1" t="str">
        <f t="shared" si="495"/>
        <v>A</v>
      </c>
    </row>
    <row r="1664" spans="1:17" x14ac:dyDescent="0.3">
      <c r="A1664" s="1" t="str">
        <f t="shared" si="484"/>
        <v>R</v>
      </c>
      <c r="B1664" s="1" t="str">
        <f>"BEI504"</f>
        <v>BEI504</v>
      </c>
      <c r="C1664" s="1" t="str">
        <f>"높은 요중 크레아티닌"</f>
        <v>높은 요중 크레아티닌</v>
      </c>
      <c r="D1664" s="1" t="str">
        <f>"소변이 농축되어 소변에 대한 재검사가 필요합니다."</f>
        <v>소변이 농축되어 소변에 대한 재검사가 필요합니다.</v>
      </c>
      <c r="E1664" s="1" t="str">
        <f>""</f>
        <v/>
      </c>
      <c r="F1664" s="1" t="str">
        <f>""</f>
        <v/>
      </c>
      <c r="G1664" s="1" t="str">
        <f>""</f>
        <v/>
      </c>
      <c r="H1664" s="1" t="str">
        <f t="shared" si="494"/>
        <v>REL17</v>
      </c>
      <c r="I1664" s="1" t="str">
        <f>""</f>
        <v/>
      </c>
      <c r="J1664" s="1" t="str">
        <f t="shared" si="491"/>
        <v>S01R</v>
      </c>
      <c r="K1664" s="1" t="str">
        <f t="shared" si="491"/>
        <v>S01R</v>
      </c>
      <c r="L1664" s="1" t="str">
        <f t="shared" si="479"/>
        <v>R</v>
      </c>
      <c r="M1664" s="1" t="str">
        <f t="shared" si="492"/>
        <v>T12</v>
      </c>
      <c r="N1664" s="1" t="str">
        <f t="shared" si="480"/>
        <v>Y</v>
      </c>
      <c r="O1664" s="1" t="str">
        <f t="shared" si="493"/>
        <v>Y</v>
      </c>
      <c r="P1664" s="1" t="str">
        <f t="shared" si="481"/>
        <v>Y</v>
      </c>
      <c r="Q1664" s="1" t="str">
        <f t="shared" si="495"/>
        <v>A</v>
      </c>
    </row>
    <row r="1665" spans="1:17" x14ac:dyDescent="0.3">
      <c r="A1665" s="1" t="str">
        <f t="shared" si="484"/>
        <v>R</v>
      </c>
      <c r="B1665" s="1" t="str">
        <f>"BEI505"</f>
        <v>BEI505</v>
      </c>
      <c r="C1665" s="1" t="str">
        <f>"요중 메틸마뇨산 상승"</f>
        <v>요중 메틸마뇨산 상승</v>
      </c>
      <c r="D1665" s="1" t="str">
        <f>"요중메틸마뇨산 재검사 요함"</f>
        <v>요중메틸마뇨산 재검사 요함</v>
      </c>
      <c r="E1665" s="1" t="str">
        <f>""</f>
        <v/>
      </c>
      <c r="F1665" s="1" t="str">
        <f>""</f>
        <v/>
      </c>
      <c r="G1665" s="1" t="str">
        <f>"DIS213"</f>
        <v>DIS213</v>
      </c>
      <c r="H1665" s="1" t="str">
        <f t="shared" si="494"/>
        <v>REL17</v>
      </c>
      <c r="I1665" s="1" t="str">
        <f>"N0083"</f>
        <v>N0083</v>
      </c>
      <c r="J1665" s="1" t="str">
        <f t="shared" si="491"/>
        <v>S01R</v>
      </c>
      <c r="K1665" s="1" t="str">
        <f t="shared" si="491"/>
        <v>S01R</v>
      </c>
      <c r="L1665" s="1" t="str">
        <f t="shared" si="479"/>
        <v>R</v>
      </c>
      <c r="M1665" s="1" t="str">
        <f>"T02"</f>
        <v>T02</v>
      </c>
      <c r="N1665" s="1" t="str">
        <f t="shared" si="480"/>
        <v>Y</v>
      </c>
      <c r="O1665" s="1" t="str">
        <f t="shared" si="493"/>
        <v>Y</v>
      </c>
      <c r="P1665" s="1" t="str">
        <f t="shared" si="481"/>
        <v>Y</v>
      </c>
      <c r="Q1665" s="1" t="str">
        <f t="shared" si="495"/>
        <v>A</v>
      </c>
    </row>
    <row r="1666" spans="1:17" x14ac:dyDescent="0.3">
      <c r="A1666" s="1" t="str">
        <f t="shared" si="484"/>
        <v>R</v>
      </c>
      <c r="B1666" s="1" t="str">
        <f>"BEI506"</f>
        <v>BEI506</v>
      </c>
      <c r="C1666" s="1" t="str">
        <f>"낮은 요중 크레아티닌"</f>
        <v>낮은 요중 크레아티닌</v>
      </c>
      <c r="D1666" s="1" t="str">
        <f>"소변이 희석되어 마뇨산 및 메틸마뇨산 검사를 재실시하세요."</f>
        <v>소변이 희석되어 마뇨산 및 메틸마뇨산 검사를 재실시하세요.</v>
      </c>
      <c r="E1666" s="1" t="str">
        <f>""</f>
        <v/>
      </c>
      <c r="F1666" s="1" t="str">
        <f>""</f>
        <v/>
      </c>
      <c r="G1666" s="1" t="str">
        <f>""</f>
        <v/>
      </c>
      <c r="H1666" s="1" t="str">
        <f t="shared" si="494"/>
        <v>REL17</v>
      </c>
      <c r="I1666" s="1" t="str">
        <f>""</f>
        <v/>
      </c>
      <c r="J1666" s="1" t="str">
        <f t="shared" si="491"/>
        <v>S01R</v>
      </c>
      <c r="K1666" s="1" t="str">
        <f t="shared" si="491"/>
        <v>S01R</v>
      </c>
      <c r="L1666" s="1" t="str">
        <f t="shared" si="479"/>
        <v>R</v>
      </c>
      <c r="M1666" s="1" t="str">
        <f t="shared" ref="M1666:M1671" si="496">"T12"</f>
        <v>T12</v>
      </c>
      <c r="N1666" s="1" t="str">
        <f t="shared" si="480"/>
        <v>Y</v>
      </c>
      <c r="O1666" s="1" t="str">
        <f t="shared" si="493"/>
        <v>Y</v>
      </c>
      <c r="P1666" s="1" t="str">
        <f t="shared" si="481"/>
        <v>Y</v>
      </c>
      <c r="Q1666" s="1" t="str">
        <f t="shared" si="495"/>
        <v>A</v>
      </c>
    </row>
    <row r="1667" spans="1:17" x14ac:dyDescent="0.3">
      <c r="A1667" s="1" t="str">
        <f t="shared" si="484"/>
        <v>R</v>
      </c>
      <c r="B1667" s="1" t="str">
        <f>"BEI507"</f>
        <v>BEI507</v>
      </c>
      <c r="C1667" s="1" t="str">
        <f>"높은 요중 크레아티닌"</f>
        <v>높은 요중 크레아티닌</v>
      </c>
      <c r="D1667" s="1" t="str">
        <f>"소변이 농축되어 마뇨산 및 메틸마뇨산에 대한 재검사를 하세요."</f>
        <v>소변이 농축되어 마뇨산 및 메틸마뇨산에 대한 재검사를 하세요.</v>
      </c>
      <c r="E1667" s="1" t="str">
        <f>""</f>
        <v/>
      </c>
      <c r="F1667" s="1" t="str">
        <f>""</f>
        <v/>
      </c>
      <c r="G1667" s="1" t="str">
        <f>""</f>
        <v/>
      </c>
      <c r="H1667" s="1" t="str">
        <f t="shared" si="494"/>
        <v>REL17</v>
      </c>
      <c r="I1667" s="1" t="str">
        <f>""</f>
        <v/>
      </c>
      <c r="J1667" s="1" t="str">
        <f t="shared" si="491"/>
        <v>S01R</v>
      </c>
      <c r="K1667" s="1" t="str">
        <f t="shared" si="491"/>
        <v>S01R</v>
      </c>
      <c r="L1667" s="1" t="str">
        <f t="shared" si="479"/>
        <v>R</v>
      </c>
      <c r="M1667" s="1" t="str">
        <f t="shared" si="496"/>
        <v>T12</v>
      </c>
      <c r="N1667" s="1" t="str">
        <f t="shared" si="480"/>
        <v>Y</v>
      </c>
      <c r="O1667" s="1" t="str">
        <f t="shared" si="493"/>
        <v>Y</v>
      </c>
      <c r="P1667" s="1" t="str">
        <f t="shared" si="481"/>
        <v>Y</v>
      </c>
      <c r="Q1667" s="1" t="str">
        <f t="shared" si="495"/>
        <v>A</v>
      </c>
    </row>
    <row r="1668" spans="1:17" x14ac:dyDescent="0.3">
      <c r="A1668" s="1" t="str">
        <f t="shared" si="484"/>
        <v>R</v>
      </c>
      <c r="B1668" s="1" t="str">
        <f>"BEI508"</f>
        <v>BEI508</v>
      </c>
      <c r="C1668" s="1" t="str">
        <f>"낮은 요중 크레아티닌"</f>
        <v>낮은 요중 크레아티닌</v>
      </c>
      <c r="D1668" s="1" t="str">
        <f>"소변이 희석되어 마뇨산 검사를 재실시하세요."</f>
        <v>소변이 희석되어 마뇨산 검사를 재실시하세요.</v>
      </c>
      <c r="E1668" s="1" t="str">
        <f>""</f>
        <v/>
      </c>
      <c r="F1668" s="1" t="str">
        <f>""</f>
        <v/>
      </c>
      <c r="G1668" s="1" t="str">
        <f>""</f>
        <v/>
      </c>
      <c r="H1668" s="1" t="str">
        <f t="shared" si="494"/>
        <v>REL17</v>
      </c>
      <c r="I1668" s="1" t="str">
        <f>""</f>
        <v/>
      </c>
      <c r="J1668" s="1" t="str">
        <f t="shared" si="491"/>
        <v>S01R</v>
      </c>
      <c r="K1668" s="1" t="str">
        <f t="shared" si="491"/>
        <v>S01R</v>
      </c>
      <c r="L1668" s="1" t="str">
        <f t="shared" si="479"/>
        <v>R</v>
      </c>
      <c r="M1668" s="1" t="str">
        <f t="shared" si="496"/>
        <v>T12</v>
      </c>
      <c r="N1668" s="1" t="str">
        <f t="shared" si="480"/>
        <v>Y</v>
      </c>
      <c r="O1668" s="1" t="str">
        <f t="shared" si="493"/>
        <v>Y</v>
      </c>
      <c r="P1668" s="1" t="str">
        <f t="shared" si="481"/>
        <v>Y</v>
      </c>
      <c r="Q1668" s="1" t="str">
        <f t="shared" si="495"/>
        <v>A</v>
      </c>
    </row>
    <row r="1669" spans="1:17" x14ac:dyDescent="0.3">
      <c r="A1669" s="1" t="str">
        <f t="shared" si="484"/>
        <v>R</v>
      </c>
      <c r="B1669" s="1" t="str">
        <f>"BEI509"</f>
        <v>BEI509</v>
      </c>
      <c r="C1669" s="1" t="str">
        <f>"높은 요중 크레아티닌"</f>
        <v>높은 요중 크레아티닌</v>
      </c>
      <c r="D1669" s="1" t="str">
        <f>"소변이 농축되어 마뇨산 검사를 재실시하세요."</f>
        <v>소변이 농축되어 마뇨산 검사를 재실시하세요.</v>
      </c>
      <c r="E1669" s="1" t="str">
        <f>""</f>
        <v/>
      </c>
      <c r="F1669" s="1" t="str">
        <f>""</f>
        <v/>
      </c>
      <c r="G1669" s="1" t="str">
        <f>""</f>
        <v/>
      </c>
      <c r="H1669" s="1" t="str">
        <f t="shared" si="494"/>
        <v>REL17</v>
      </c>
      <c r="I1669" s="1" t="str">
        <f>""</f>
        <v/>
      </c>
      <c r="J1669" s="1" t="str">
        <f t="shared" si="491"/>
        <v>S01R</v>
      </c>
      <c r="K1669" s="1" t="str">
        <f t="shared" si="491"/>
        <v>S01R</v>
      </c>
      <c r="L1669" s="1" t="str">
        <f t="shared" ref="L1669:L1732" si="497">"R"</f>
        <v>R</v>
      </c>
      <c r="M1669" s="1" t="str">
        <f t="shared" si="496"/>
        <v>T12</v>
      </c>
      <c r="N1669" s="1" t="str">
        <f t="shared" ref="N1669:N1732" si="498">"Y"</f>
        <v>Y</v>
      </c>
      <c r="O1669" s="1" t="str">
        <f t="shared" si="493"/>
        <v>Y</v>
      </c>
      <c r="P1669" s="1" t="str">
        <f t="shared" si="481"/>
        <v>Y</v>
      </c>
      <c r="Q1669" s="1" t="str">
        <f t="shared" si="495"/>
        <v>A</v>
      </c>
    </row>
    <row r="1670" spans="1:17" x14ac:dyDescent="0.3">
      <c r="A1670" s="1" t="str">
        <f t="shared" si="484"/>
        <v>R</v>
      </c>
      <c r="B1670" s="1" t="str">
        <f>"BEI510"</f>
        <v>BEI510</v>
      </c>
      <c r="C1670" s="1" t="str">
        <f>"낮은 요중 크레아티닌"</f>
        <v>낮은 요중 크레아티닌</v>
      </c>
      <c r="D1670" s="1" t="str">
        <f>"소변이 희석되어 메틸마뇨산 검사를 재실시하세요."</f>
        <v>소변이 희석되어 메틸마뇨산 검사를 재실시하세요.</v>
      </c>
      <c r="E1670" s="1" t="str">
        <f>""</f>
        <v/>
      </c>
      <c r="F1670" s="1" t="str">
        <f>""</f>
        <v/>
      </c>
      <c r="G1670" s="1" t="str">
        <f>""</f>
        <v/>
      </c>
      <c r="H1670" s="1" t="str">
        <f t="shared" si="494"/>
        <v>REL17</v>
      </c>
      <c r="I1670" s="1" t="str">
        <f>""</f>
        <v/>
      </c>
      <c r="J1670" s="1" t="str">
        <f t="shared" si="491"/>
        <v>S01R</v>
      </c>
      <c r="K1670" s="1" t="str">
        <f t="shared" si="491"/>
        <v>S01R</v>
      </c>
      <c r="L1670" s="1" t="str">
        <f t="shared" si="497"/>
        <v>R</v>
      </c>
      <c r="M1670" s="1" t="str">
        <f t="shared" si="496"/>
        <v>T12</v>
      </c>
      <c r="N1670" s="1" t="str">
        <f t="shared" si="498"/>
        <v>Y</v>
      </c>
      <c r="O1670" s="1" t="str">
        <f t="shared" si="493"/>
        <v>Y</v>
      </c>
      <c r="P1670" s="1" t="str">
        <f t="shared" si="481"/>
        <v>Y</v>
      </c>
      <c r="Q1670" s="1" t="str">
        <f t="shared" si="495"/>
        <v>A</v>
      </c>
    </row>
    <row r="1671" spans="1:17" x14ac:dyDescent="0.3">
      <c r="A1671" s="1" t="str">
        <f t="shared" si="484"/>
        <v>R</v>
      </c>
      <c r="B1671" s="1" t="str">
        <f>"BEI511"</f>
        <v>BEI511</v>
      </c>
      <c r="C1671" s="1" t="str">
        <f>"높은 요중 크레아티닌"</f>
        <v>높은 요중 크레아티닌</v>
      </c>
      <c r="D1671" s="1" t="str">
        <f>"소변이 농축되어 메틸마뇨산 검사를 재실시하세요."</f>
        <v>소변이 농축되어 메틸마뇨산 검사를 재실시하세요.</v>
      </c>
      <c r="E1671" s="1" t="str">
        <f>""</f>
        <v/>
      </c>
      <c r="F1671" s="1" t="str">
        <f>""</f>
        <v/>
      </c>
      <c r="G1671" s="1" t="str">
        <f>""</f>
        <v/>
      </c>
      <c r="H1671" s="1" t="str">
        <f t="shared" si="494"/>
        <v>REL17</v>
      </c>
      <c r="I1671" s="1" t="str">
        <f>""</f>
        <v/>
      </c>
      <c r="J1671" s="1" t="str">
        <f t="shared" si="491"/>
        <v>S01R</v>
      </c>
      <c r="K1671" s="1" t="str">
        <f t="shared" si="491"/>
        <v>S01R</v>
      </c>
      <c r="L1671" s="1" t="str">
        <f t="shared" si="497"/>
        <v>R</v>
      </c>
      <c r="M1671" s="1" t="str">
        <f t="shared" si="496"/>
        <v>T12</v>
      </c>
      <c r="N1671" s="1" t="str">
        <f t="shared" si="498"/>
        <v>Y</v>
      </c>
      <c r="O1671" s="1" t="str">
        <f t="shared" si="493"/>
        <v>Y</v>
      </c>
      <c r="P1671" s="1" t="str">
        <f t="shared" si="481"/>
        <v>Y</v>
      </c>
      <c r="Q1671" s="1" t="str">
        <f t="shared" si="495"/>
        <v>A</v>
      </c>
    </row>
    <row r="1672" spans="1:17" x14ac:dyDescent="0.3">
      <c r="A1672" s="1" t="str">
        <f t="shared" si="484"/>
        <v>R</v>
      </c>
      <c r="B1672" s="1" t="str">
        <f>"BLDR01"</f>
        <v>BLDR01</v>
      </c>
      <c r="C1672" s="1" t="str">
        <f t="shared" ref="C1672:C1677" si="499">"혈액질환의심"</f>
        <v>혈액질환의심</v>
      </c>
      <c r="D1672" s="1" t="str">
        <f t="shared" ref="D1672:D1677" si="500">"혈액검사에서 이상소견이 보입니다. 확인이 필요하니 2차 검진을 받으시기 바랍니다."</f>
        <v>혈액검사에서 이상소견이 보입니다. 확인이 필요하니 2차 검진을 받으시기 바랍니다.</v>
      </c>
      <c r="E1672" s="1" t="str">
        <f>""</f>
        <v/>
      </c>
      <c r="F1672" s="1" t="str">
        <f>""</f>
        <v/>
      </c>
      <c r="G1672" s="1" t="str">
        <f t="shared" ref="G1672:G1677" si="501">"DISD"</f>
        <v>DISD</v>
      </c>
      <c r="H1672" s="1" t="str">
        <f t="shared" ref="H1672:H1677" si="502">"REL12"</f>
        <v>REL12</v>
      </c>
      <c r="I1672" s="1" t="str">
        <f>""</f>
        <v/>
      </c>
      <c r="J1672" s="1" t="str">
        <f t="shared" ref="J1672:K1677" si="503">"C34R"</f>
        <v>C34R</v>
      </c>
      <c r="K1672" s="1" t="str">
        <f t="shared" si="503"/>
        <v>C34R</v>
      </c>
      <c r="L1672" s="1" t="str">
        <f t="shared" si="497"/>
        <v>R</v>
      </c>
      <c r="M1672" s="1" t="str">
        <f t="shared" ref="M1672:M1677" si="504">"T01"</f>
        <v>T01</v>
      </c>
      <c r="N1672" s="1" t="str">
        <f t="shared" si="498"/>
        <v>Y</v>
      </c>
      <c r="O1672" s="1" t="str">
        <f t="shared" si="493"/>
        <v>Y</v>
      </c>
      <c r="P1672" s="1" t="str">
        <f t="shared" si="481"/>
        <v>Y</v>
      </c>
      <c r="Q1672" s="1" t="str">
        <f t="shared" si="495"/>
        <v>A</v>
      </c>
    </row>
    <row r="1673" spans="1:17" x14ac:dyDescent="0.3">
      <c r="A1673" s="1" t="str">
        <f t="shared" si="484"/>
        <v>R</v>
      </c>
      <c r="B1673" s="1" t="str">
        <f>"BLDR02"</f>
        <v>BLDR02</v>
      </c>
      <c r="C1673" s="1" t="str">
        <f t="shared" si="499"/>
        <v>혈액질환의심</v>
      </c>
      <c r="D1673" s="1" t="str">
        <f t="shared" si="500"/>
        <v>혈액검사에서 이상소견이 보입니다. 확인이 필요하니 2차 검진을 받으시기 바랍니다.</v>
      </c>
      <c r="E1673" s="1" t="str">
        <f>""</f>
        <v/>
      </c>
      <c r="F1673" s="1" t="str">
        <f>""</f>
        <v/>
      </c>
      <c r="G1673" s="1" t="str">
        <f t="shared" si="501"/>
        <v>DISD</v>
      </c>
      <c r="H1673" s="1" t="str">
        <f t="shared" si="502"/>
        <v>REL12</v>
      </c>
      <c r="I1673" s="1" t="str">
        <f>""</f>
        <v/>
      </c>
      <c r="J1673" s="1" t="str">
        <f t="shared" si="503"/>
        <v>C34R</v>
      </c>
      <c r="K1673" s="1" t="str">
        <f t="shared" si="503"/>
        <v>C34R</v>
      </c>
      <c r="L1673" s="1" t="str">
        <f t="shared" si="497"/>
        <v>R</v>
      </c>
      <c r="M1673" s="1" t="str">
        <f t="shared" si="504"/>
        <v>T01</v>
      </c>
      <c r="N1673" s="1" t="str">
        <f t="shared" si="498"/>
        <v>Y</v>
      </c>
      <c r="O1673" s="1" t="str">
        <f t="shared" si="493"/>
        <v>Y</v>
      </c>
      <c r="P1673" s="1" t="str">
        <f t="shared" si="481"/>
        <v>Y</v>
      </c>
      <c r="Q1673" s="1" t="str">
        <f t="shared" si="495"/>
        <v>A</v>
      </c>
    </row>
    <row r="1674" spans="1:17" x14ac:dyDescent="0.3">
      <c r="A1674" s="1" t="str">
        <f t="shared" si="484"/>
        <v>R</v>
      </c>
      <c r="B1674" s="1" t="str">
        <f>"BLDR03"</f>
        <v>BLDR03</v>
      </c>
      <c r="C1674" s="1" t="str">
        <f t="shared" si="499"/>
        <v>혈액질환의심</v>
      </c>
      <c r="D1674" s="1" t="str">
        <f t="shared" si="500"/>
        <v>혈액검사에서 이상소견이 보입니다. 확인이 필요하니 2차 검진을 받으시기 바랍니다.</v>
      </c>
      <c r="E1674" s="1" t="str">
        <f>""</f>
        <v/>
      </c>
      <c r="F1674" s="1" t="str">
        <f>""</f>
        <v/>
      </c>
      <c r="G1674" s="1" t="str">
        <f t="shared" si="501"/>
        <v>DISD</v>
      </c>
      <c r="H1674" s="1" t="str">
        <f t="shared" si="502"/>
        <v>REL12</v>
      </c>
      <c r="I1674" s="1" t="str">
        <f>""</f>
        <v/>
      </c>
      <c r="J1674" s="1" t="str">
        <f t="shared" si="503"/>
        <v>C34R</v>
      </c>
      <c r="K1674" s="1" t="str">
        <f t="shared" si="503"/>
        <v>C34R</v>
      </c>
      <c r="L1674" s="1" t="str">
        <f t="shared" si="497"/>
        <v>R</v>
      </c>
      <c r="M1674" s="1" t="str">
        <f t="shared" si="504"/>
        <v>T01</v>
      </c>
      <c r="N1674" s="1" t="str">
        <f t="shared" si="498"/>
        <v>Y</v>
      </c>
      <c r="O1674" s="1" t="str">
        <f t="shared" si="493"/>
        <v>Y</v>
      </c>
      <c r="P1674" s="1" t="str">
        <f t="shared" ref="P1674:P1737" si="505">"Y"</f>
        <v>Y</v>
      </c>
      <c r="Q1674" s="1" t="str">
        <f t="shared" si="495"/>
        <v>A</v>
      </c>
    </row>
    <row r="1675" spans="1:17" x14ac:dyDescent="0.3">
      <c r="A1675" s="1" t="str">
        <f t="shared" si="484"/>
        <v>R</v>
      </c>
      <c r="B1675" s="1" t="str">
        <f>"BLDR04"</f>
        <v>BLDR04</v>
      </c>
      <c r="C1675" s="1" t="str">
        <f t="shared" si="499"/>
        <v>혈액질환의심</v>
      </c>
      <c r="D1675" s="1" t="str">
        <f t="shared" si="500"/>
        <v>혈액검사에서 이상소견이 보입니다. 확인이 필요하니 2차 검진을 받으시기 바랍니다.</v>
      </c>
      <c r="E1675" s="1" t="str">
        <f>""</f>
        <v/>
      </c>
      <c r="F1675" s="1" t="str">
        <f>""</f>
        <v/>
      </c>
      <c r="G1675" s="1" t="str">
        <f t="shared" si="501"/>
        <v>DISD</v>
      </c>
      <c r="H1675" s="1" t="str">
        <f t="shared" si="502"/>
        <v>REL12</v>
      </c>
      <c r="I1675" s="1" t="str">
        <f>""</f>
        <v/>
      </c>
      <c r="J1675" s="1" t="str">
        <f t="shared" si="503"/>
        <v>C34R</v>
      </c>
      <c r="K1675" s="1" t="str">
        <f t="shared" si="503"/>
        <v>C34R</v>
      </c>
      <c r="L1675" s="1" t="str">
        <f t="shared" si="497"/>
        <v>R</v>
      </c>
      <c r="M1675" s="1" t="str">
        <f t="shared" si="504"/>
        <v>T01</v>
      </c>
      <c r="N1675" s="1" t="str">
        <f t="shared" si="498"/>
        <v>Y</v>
      </c>
      <c r="O1675" s="1" t="str">
        <f t="shared" si="493"/>
        <v>Y</v>
      </c>
      <c r="P1675" s="1" t="str">
        <f t="shared" si="505"/>
        <v>Y</v>
      </c>
      <c r="Q1675" s="1" t="str">
        <f t="shared" si="495"/>
        <v>A</v>
      </c>
    </row>
    <row r="1676" spans="1:17" x14ac:dyDescent="0.3">
      <c r="A1676" s="1" t="str">
        <f t="shared" si="484"/>
        <v>R</v>
      </c>
      <c r="B1676" s="1" t="str">
        <f>"BLDR05"</f>
        <v>BLDR05</v>
      </c>
      <c r="C1676" s="1" t="str">
        <f t="shared" si="499"/>
        <v>혈액질환의심</v>
      </c>
      <c r="D1676" s="1" t="str">
        <f t="shared" si="500"/>
        <v>혈액검사에서 이상소견이 보입니다. 확인이 필요하니 2차 검진을 받으시기 바랍니다.</v>
      </c>
      <c r="E1676" s="1" t="str">
        <f>""</f>
        <v/>
      </c>
      <c r="F1676" s="1" t="str">
        <f>""</f>
        <v/>
      </c>
      <c r="G1676" s="1" t="str">
        <f t="shared" si="501"/>
        <v>DISD</v>
      </c>
      <c r="H1676" s="1" t="str">
        <f t="shared" si="502"/>
        <v>REL12</v>
      </c>
      <c r="I1676" s="1" t="str">
        <f>""</f>
        <v/>
      </c>
      <c r="J1676" s="1" t="str">
        <f t="shared" si="503"/>
        <v>C34R</v>
      </c>
      <c r="K1676" s="1" t="str">
        <f t="shared" si="503"/>
        <v>C34R</v>
      </c>
      <c r="L1676" s="1" t="str">
        <f t="shared" si="497"/>
        <v>R</v>
      </c>
      <c r="M1676" s="1" t="str">
        <f t="shared" si="504"/>
        <v>T01</v>
      </c>
      <c r="N1676" s="1" t="str">
        <f t="shared" si="498"/>
        <v>Y</v>
      </c>
      <c r="O1676" s="1" t="str">
        <f t="shared" si="493"/>
        <v>Y</v>
      </c>
      <c r="P1676" s="1" t="str">
        <f t="shared" si="505"/>
        <v>Y</v>
      </c>
      <c r="Q1676" s="1" t="str">
        <f t="shared" si="495"/>
        <v>A</v>
      </c>
    </row>
    <row r="1677" spans="1:17" x14ac:dyDescent="0.3">
      <c r="A1677" s="1" t="str">
        <f t="shared" si="484"/>
        <v>R</v>
      </c>
      <c r="B1677" s="1" t="str">
        <f>"BLDR06"</f>
        <v>BLDR06</v>
      </c>
      <c r="C1677" s="1" t="str">
        <f t="shared" si="499"/>
        <v>혈액질환의심</v>
      </c>
      <c r="D1677" s="1" t="str">
        <f t="shared" si="500"/>
        <v>혈액검사에서 이상소견이 보입니다. 확인이 필요하니 2차 검진을 받으시기 바랍니다.</v>
      </c>
      <c r="E1677" s="1" t="str">
        <f>""</f>
        <v/>
      </c>
      <c r="F1677" s="1" t="str">
        <f>""</f>
        <v/>
      </c>
      <c r="G1677" s="1" t="str">
        <f t="shared" si="501"/>
        <v>DISD</v>
      </c>
      <c r="H1677" s="1" t="str">
        <f t="shared" si="502"/>
        <v>REL12</v>
      </c>
      <c r="I1677" s="1" t="str">
        <f>""</f>
        <v/>
      </c>
      <c r="J1677" s="1" t="str">
        <f t="shared" si="503"/>
        <v>C34R</v>
      </c>
      <c r="K1677" s="1" t="str">
        <f t="shared" si="503"/>
        <v>C34R</v>
      </c>
      <c r="L1677" s="1" t="str">
        <f t="shared" si="497"/>
        <v>R</v>
      </c>
      <c r="M1677" s="1" t="str">
        <f t="shared" si="504"/>
        <v>T01</v>
      </c>
      <c r="N1677" s="1" t="str">
        <f t="shared" si="498"/>
        <v>Y</v>
      </c>
      <c r="O1677" s="1" t="str">
        <f t="shared" si="493"/>
        <v>Y</v>
      </c>
      <c r="P1677" s="1" t="str">
        <f t="shared" si="505"/>
        <v>Y</v>
      </c>
      <c r="Q1677" s="1" t="str">
        <f t="shared" si="495"/>
        <v>A</v>
      </c>
    </row>
    <row r="1678" spans="1:17" x14ac:dyDescent="0.3">
      <c r="A1678" s="1" t="str">
        <f t="shared" ref="A1678:A1709" si="506">"R"</f>
        <v>R</v>
      </c>
      <c r="B1678" s="1" t="str">
        <f>"CAN201"</f>
        <v>CAN201</v>
      </c>
      <c r="C1678" s="1" t="str">
        <f>"알파피토프로테인상승 재검사요"</f>
        <v>알파피토프로테인상승 재검사요</v>
      </c>
      <c r="D1678" s="1" t="str">
        <f>"추적검사를 요합니다."</f>
        <v>추적검사를 요합니다.</v>
      </c>
      <c r="E1678" s="1" t="str">
        <f>""</f>
        <v/>
      </c>
      <c r="F1678" s="1" t="str">
        <f>""</f>
        <v/>
      </c>
      <c r="G1678" s="1" t="str">
        <f>"DISK"</f>
        <v>DISK</v>
      </c>
      <c r="H1678" s="1" t="str">
        <f>"REL05"</f>
        <v>REL05</v>
      </c>
      <c r="I1678" s="1" t="str">
        <f>""</f>
        <v/>
      </c>
      <c r="J1678" s="1" t="str">
        <f>"C41R"</f>
        <v>C41R</v>
      </c>
      <c r="K1678" s="1" t="str">
        <f>"C41R"</f>
        <v>C41R</v>
      </c>
      <c r="L1678" s="1" t="str">
        <f t="shared" si="497"/>
        <v>R</v>
      </c>
      <c r="M1678" s="1" t="str">
        <f>"T02"</f>
        <v>T02</v>
      </c>
      <c r="N1678" s="1" t="str">
        <f t="shared" si="498"/>
        <v>Y</v>
      </c>
      <c r="O1678" s="1" t="str">
        <f t="shared" si="493"/>
        <v>Y</v>
      </c>
      <c r="P1678" s="1" t="str">
        <f t="shared" si="505"/>
        <v>Y</v>
      </c>
      <c r="Q1678" s="1" t="str">
        <f t="shared" si="495"/>
        <v>A</v>
      </c>
    </row>
    <row r="1679" spans="1:17" x14ac:dyDescent="0.3">
      <c r="A1679" s="1" t="str">
        <f t="shared" si="506"/>
        <v>R</v>
      </c>
      <c r="B1679" s="1" t="str">
        <f>"CAN301"</f>
        <v>CAN301</v>
      </c>
      <c r="C1679" s="1" t="str">
        <f>"알파피토프로테인(a-FP) 상승(간질환시 상승 가능)"</f>
        <v>알파피토프로테인(a-FP) 상승(간질환시 상승 가능)</v>
      </c>
      <c r="D1679" s="1" t="str">
        <f>"추적검사를 요합니다."</f>
        <v>추적검사를 요합니다.</v>
      </c>
      <c r="E1679" s="1" t="str">
        <f>""</f>
        <v/>
      </c>
      <c r="F1679" s="1" t="str">
        <f>""</f>
        <v/>
      </c>
      <c r="G1679" s="1" t="str">
        <f>"DISK"</f>
        <v>DISK</v>
      </c>
      <c r="H1679" s="1" t="str">
        <f>"REL05"</f>
        <v>REL05</v>
      </c>
      <c r="I1679" s="1" t="str">
        <f>""</f>
        <v/>
      </c>
      <c r="J1679" s="1" t="str">
        <f>"C41R"</f>
        <v>C41R</v>
      </c>
      <c r="K1679" s="1" t="str">
        <f>"C41R"</f>
        <v>C41R</v>
      </c>
      <c r="L1679" s="1" t="str">
        <f t="shared" si="497"/>
        <v>R</v>
      </c>
      <c r="M1679" s="1" t="str">
        <f>"T02"</f>
        <v>T02</v>
      </c>
      <c r="N1679" s="1" t="str">
        <f t="shared" si="498"/>
        <v>Y</v>
      </c>
      <c r="O1679" s="1" t="str">
        <f t="shared" si="493"/>
        <v>Y</v>
      </c>
      <c r="P1679" s="1" t="str">
        <f t="shared" si="505"/>
        <v>Y</v>
      </c>
      <c r="Q1679" s="1" t="str">
        <f t="shared" si="495"/>
        <v>A</v>
      </c>
    </row>
    <row r="1680" spans="1:17" x14ac:dyDescent="0.3">
      <c r="A1680" s="1" t="str">
        <f t="shared" si="506"/>
        <v>R</v>
      </c>
      <c r="B1680" s="1" t="str">
        <f>"DER401"</f>
        <v>DER401</v>
      </c>
      <c r="C1680" s="1" t="str">
        <f>"직업성 접촉성 피부염"</f>
        <v>직업성 접촉성 피부염</v>
      </c>
      <c r="D1680" s="1" t="str">
        <f>"원인물질을 피하시고 접촉성 피부염에 대한 치료를 위해 내원하세요"</f>
        <v>원인물질을 피하시고 접촉성 피부염에 대한 치료를 위해 내원하세요</v>
      </c>
      <c r="E1680" s="1" t="str">
        <f>""</f>
        <v/>
      </c>
      <c r="F1680" s="1" t="str">
        <f>"PTM04"</f>
        <v>PTM04</v>
      </c>
      <c r="G1680" s="1" t="str">
        <f>"DISL"</f>
        <v>DISL</v>
      </c>
      <c r="H1680" s="1" t="str">
        <f>"REL13"</f>
        <v>REL13</v>
      </c>
      <c r="I1680" s="1" t="str">
        <f>""</f>
        <v/>
      </c>
      <c r="J1680" s="1" t="str">
        <f>"C42R"</f>
        <v>C42R</v>
      </c>
      <c r="K1680" s="1" t="str">
        <f>"C42R"</f>
        <v>C42R</v>
      </c>
      <c r="L1680" s="1" t="str">
        <f t="shared" si="497"/>
        <v>R</v>
      </c>
      <c r="M1680" s="1" t="str">
        <f>"T08"</f>
        <v>T08</v>
      </c>
      <c r="N1680" s="1" t="str">
        <f t="shared" si="498"/>
        <v>Y</v>
      </c>
      <c r="O1680" s="1" t="str">
        <f t="shared" si="493"/>
        <v>Y</v>
      </c>
      <c r="P1680" s="1" t="str">
        <f t="shared" si="505"/>
        <v>Y</v>
      </c>
      <c r="Q1680" s="1" t="str">
        <f t="shared" si="495"/>
        <v>A</v>
      </c>
    </row>
    <row r="1681" spans="1:17" x14ac:dyDescent="0.3">
      <c r="A1681" s="1" t="str">
        <f t="shared" si="506"/>
        <v>R</v>
      </c>
      <c r="B1681" s="1" t="str">
        <f>"DER501"</f>
        <v>DER501</v>
      </c>
      <c r="C1681" s="1" t="str">
        <f>"접촉성 피부염주의"</f>
        <v>접촉성 피부염주의</v>
      </c>
      <c r="D1681" s="1" t="str">
        <f>"정확한 진단을 위해 직업환경의학과 혹은 피부과진료를 받으세요"</f>
        <v>정확한 진단을 위해 직업환경의학과 혹은 피부과진료를 받으세요</v>
      </c>
      <c r="E1681" s="1" t="str">
        <f>""</f>
        <v/>
      </c>
      <c r="F1681" s="1" t="str">
        <f>""</f>
        <v/>
      </c>
      <c r="G1681" s="1" t="str">
        <f>"DISL"</f>
        <v>DISL</v>
      </c>
      <c r="H1681" s="1" t="str">
        <f>"REL13"</f>
        <v>REL13</v>
      </c>
      <c r="I1681" s="1" t="str">
        <f>""</f>
        <v/>
      </c>
      <c r="J1681" s="1" t="str">
        <f>"C42R"</f>
        <v>C42R</v>
      </c>
      <c r="K1681" s="1" t="str">
        <f>"C42R"</f>
        <v>C42R</v>
      </c>
      <c r="L1681" s="1" t="str">
        <f t="shared" si="497"/>
        <v>R</v>
      </c>
      <c r="M1681" s="1" t="str">
        <f>"T08"</f>
        <v>T08</v>
      </c>
      <c r="N1681" s="1" t="str">
        <f t="shared" si="498"/>
        <v>Y</v>
      </c>
      <c r="O1681" s="1" t="str">
        <f t="shared" si="493"/>
        <v>Y</v>
      </c>
      <c r="P1681" s="1" t="str">
        <f t="shared" si="505"/>
        <v>Y</v>
      </c>
      <c r="Q1681" s="1" t="str">
        <f t="shared" si="495"/>
        <v>A</v>
      </c>
    </row>
    <row r="1682" spans="1:17" x14ac:dyDescent="0.3">
      <c r="A1682" s="1" t="str">
        <f t="shared" si="506"/>
        <v>R</v>
      </c>
      <c r="B1682" s="1" t="str">
        <f>"DES501"</f>
        <v>DES501</v>
      </c>
      <c r="C1682" s="1" t="str">
        <f>"안구건조증의심"</f>
        <v>안구건조증의심</v>
      </c>
      <c r="D1682" s="1" t="str">
        <f>"안구건조증에 대한 2차 정밀검사를 받으세요"</f>
        <v>안구건조증에 대한 2차 정밀검사를 받으세요</v>
      </c>
      <c r="E1682" s="1" t="str">
        <f>""</f>
        <v/>
      </c>
      <c r="F1682" s="1" t="str">
        <f>""</f>
        <v/>
      </c>
      <c r="G1682" s="1" t="str">
        <f>"DISH"</f>
        <v>DISH</v>
      </c>
      <c r="H1682" s="1" t="str">
        <f>"REL14"</f>
        <v>REL14</v>
      </c>
      <c r="I1682" s="1" t="str">
        <f>""</f>
        <v/>
      </c>
      <c r="J1682" s="1" t="str">
        <f>"C38R"</f>
        <v>C38R</v>
      </c>
      <c r="K1682" s="1" t="str">
        <f>"C38R"</f>
        <v>C38R</v>
      </c>
      <c r="L1682" s="1" t="str">
        <f t="shared" si="497"/>
        <v>R</v>
      </c>
      <c r="M1682" s="1" t="str">
        <f>"T09"</f>
        <v>T09</v>
      </c>
      <c r="N1682" s="1" t="str">
        <f t="shared" si="498"/>
        <v>Y</v>
      </c>
      <c r="O1682" s="1" t="str">
        <f t="shared" si="493"/>
        <v>Y</v>
      </c>
      <c r="P1682" s="1" t="str">
        <f t="shared" si="505"/>
        <v>Y</v>
      </c>
      <c r="Q1682" s="1" t="str">
        <f t="shared" si="495"/>
        <v>A</v>
      </c>
    </row>
    <row r="1683" spans="1:17" x14ac:dyDescent="0.3">
      <c r="A1683" s="1" t="str">
        <f t="shared" si="506"/>
        <v>R</v>
      </c>
      <c r="B1683" s="1" t="str">
        <f>"DMD4011"</f>
        <v>DMD4011</v>
      </c>
      <c r="C1683" s="1" t="str">
        <f>"혈당상승"</f>
        <v>혈당상승</v>
      </c>
      <c r="D1683" s="1" t="str">
        <f>"혈당이 증가하여 당뇨가 의심됩니다. 2차 검진을 받아야 합니다. 검진 당일 금식 후 검진을 받으세요."</f>
        <v>혈당이 증가하여 당뇨가 의심됩니다. 2차 검진을 받아야 합니다. 검진 당일 금식 후 검진을 받으세요.</v>
      </c>
      <c r="E1683" s="1" t="str">
        <f>""</f>
        <v/>
      </c>
      <c r="F1683" s="1" t="str">
        <f>""</f>
        <v/>
      </c>
      <c r="G1683" s="1" t="str">
        <f>"DIS600"</f>
        <v>DIS600</v>
      </c>
      <c r="H1683" s="1" t="str">
        <f>"REL07"</f>
        <v>REL07</v>
      </c>
      <c r="I1683" s="1" t="str">
        <f>"P0601"</f>
        <v>P0601</v>
      </c>
      <c r="J1683" s="1" t="str">
        <f>"N01R"</f>
        <v>N01R</v>
      </c>
      <c r="K1683" s="1" t="str">
        <f>"N01R"</f>
        <v>N01R</v>
      </c>
      <c r="L1683" s="1" t="str">
        <f t="shared" si="497"/>
        <v>R</v>
      </c>
      <c r="M1683" s="1" t="str">
        <f>"T031"</f>
        <v>T031</v>
      </c>
      <c r="N1683" s="1" t="str">
        <f t="shared" si="498"/>
        <v>Y</v>
      </c>
      <c r="O1683" s="1" t="str">
        <f t="shared" si="493"/>
        <v>Y</v>
      </c>
      <c r="P1683" s="1" t="str">
        <f t="shared" si="505"/>
        <v>Y</v>
      </c>
      <c r="Q1683" s="1" t="str">
        <f t="shared" si="495"/>
        <v>A</v>
      </c>
    </row>
    <row r="1684" spans="1:17" x14ac:dyDescent="0.3">
      <c r="A1684" s="1" t="str">
        <f t="shared" si="506"/>
        <v>R</v>
      </c>
      <c r="B1684" s="1" t="str">
        <f>"EMP318"</f>
        <v>EMP318</v>
      </c>
      <c r="C1684" s="1" t="str">
        <f>"갑상선기능저하증 의증"</f>
        <v>갑상선기능저하증 의증</v>
      </c>
      <c r="D1684" s="1" t="str">
        <f>"갑상선기능에 대한 정밀검사 및 업무적합성평가를 요합니다."</f>
        <v>갑상선기능에 대한 정밀검사 및 업무적합성평가를 요합니다.</v>
      </c>
      <c r="E1684" s="1" t="str">
        <f>""</f>
        <v/>
      </c>
      <c r="F1684" s="1" t="str">
        <f>""</f>
        <v/>
      </c>
      <c r="G1684" s="1" t="str">
        <f>"DISE"</f>
        <v>DISE</v>
      </c>
      <c r="H1684" s="1" t="str">
        <f>"REL23"</f>
        <v>REL23</v>
      </c>
      <c r="I1684" s="1" t="str">
        <f>""</f>
        <v/>
      </c>
      <c r="J1684" s="1" t="str">
        <f>"C35R"</f>
        <v>C35R</v>
      </c>
      <c r="K1684" s="1" t="str">
        <f>"C35R"</f>
        <v>C35R</v>
      </c>
      <c r="L1684" s="1" t="str">
        <f t="shared" si="497"/>
        <v>R</v>
      </c>
      <c r="M1684" s="1" t="str">
        <f>""</f>
        <v/>
      </c>
      <c r="N1684" s="1" t="str">
        <f t="shared" si="498"/>
        <v>Y</v>
      </c>
      <c r="O1684" s="1" t="str">
        <f t="shared" si="493"/>
        <v>Y</v>
      </c>
      <c r="P1684" s="1" t="str">
        <f t="shared" si="505"/>
        <v>Y</v>
      </c>
      <c r="Q1684" s="1" t="str">
        <f t="shared" si="495"/>
        <v>A</v>
      </c>
    </row>
    <row r="1685" spans="1:17" x14ac:dyDescent="0.3">
      <c r="A1685" s="1" t="str">
        <f t="shared" si="506"/>
        <v>R</v>
      </c>
      <c r="B1685" s="1" t="str">
        <f>"EMP319"</f>
        <v>EMP319</v>
      </c>
      <c r="C1685" s="1" t="str">
        <f>"갑상선기능항진증 의증"</f>
        <v>갑상선기능항진증 의증</v>
      </c>
      <c r="D1685" s="1" t="str">
        <f>"갑상선기능에 대한 정밀검사 및 업무적합성평가를 요합니다."</f>
        <v>갑상선기능에 대한 정밀검사 및 업무적합성평가를 요합니다.</v>
      </c>
      <c r="E1685" s="1" t="str">
        <f>""</f>
        <v/>
      </c>
      <c r="F1685" s="1" t="str">
        <f>""</f>
        <v/>
      </c>
      <c r="G1685" s="1" t="str">
        <f>"DISE"</f>
        <v>DISE</v>
      </c>
      <c r="H1685" s="1" t="str">
        <f>"REL23"</f>
        <v>REL23</v>
      </c>
      <c r="I1685" s="1" t="str">
        <f>""</f>
        <v/>
      </c>
      <c r="J1685" s="1" t="str">
        <f>"C35R"</f>
        <v>C35R</v>
      </c>
      <c r="K1685" s="1" t="str">
        <f>"C35R"</f>
        <v>C35R</v>
      </c>
      <c r="L1685" s="1" t="str">
        <f t="shared" si="497"/>
        <v>R</v>
      </c>
      <c r="M1685" s="1" t="str">
        <f>""</f>
        <v/>
      </c>
      <c r="N1685" s="1" t="str">
        <f t="shared" si="498"/>
        <v>Y</v>
      </c>
      <c r="O1685" s="1" t="str">
        <f t="shared" si="493"/>
        <v>Y</v>
      </c>
      <c r="P1685" s="1" t="str">
        <f t="shared" si="505"/>
        <v>Y</v>
      </c>
      <c r="Q1685" s="1" t="str">
        <f t="shared" si="495"/>
        <v>A</v>
      </c>
    </row>
    <row r="1686" spans="1:17" x14ac:dyDescent="0.3">
      <c r="A1686" s="1" t="str">
        <f t="shared" si="506"/>
        <v>R</v>
      </c>
      <c r="B1686" s="1" t="str">
        <f>"EMP407"</f>
        <v>EMP407</v>
      </c>
      <c r="C1686" s="1" t="str">
        <f>"신장질환(의심)"</f>
        <v>신장질환(의심)</v>
      </c>
      <c r="D1686" s="1" t="str">
        <f>"신장질환에 대한 2차검사를 받으세요."</f>
        <v>신장질환에 대한 2차검사를 받으세요.</v>
      </c>
      <c r="E1686" s="1" t="str">
        <f>""</f>
        <v/>
      </c>
      <c r="F1686" s="1" t="str">
        <f>""</f>
        <v/>
      </c>
      <c r="G1686" s="1" t="str">
        <f>"DISN"</f>
        <v>DISN</v>
      </c>
      <c r="H1686" s="1" t="str">
        <f>"REL08"</f>
        <v>REL08</v>
      </c>
      <c r="I1686" s="1" t="str">
        <f>""</f>
        <v/>
      </c>
      <c r="J1686" s="1" t="str">
        <f>"C07R"</f>
        <v>C07R</v>
      </c>
      <c r="K1686" s="1" t="str">
        <f>"C07R"</f>
        <v>C07R</v>
      </c>
      <c r="L1686" s="1" t="str">
        <f t="shared" si="497"/>
        <v>R</v>
      </c>
      <c r="M1686" s="1" t="str">
        <f>"T05"</f>
        <v>T05</v>
      </c>
      <c r="N1686" s="1" t="str">
        <f t="shared" si="498"/>
        <v>Y</v>
      </c>
      <c r="O1686" s="1" t="str">
        <f t="shared" si="493"/>
        <v>Y</v>
      </c>
      <c r="P1686" s="1" t="str">
        <f t="shared" si="505"/>
        <v>Y</v>
      </c>
      <c r="Q1686" s="1" t="str">
        <f t="shared" si="495"/>
        <v>A</v>
      </c>
    </row>
    <row r="1687" spans="1:17" x14ac:dyDescent="0.3">
      <c r="A1687" s="1" t="str">
        <f t="shared" si="506"/>
        <v>R</v>
      </c>
      <c r="B1687" s="1" t="str">
        <f>"EMP408"</f>
        <v>EMP408</v>
      </c>
      <c r="C1687" s="1" t="str">
        <f>"신장질환 의심"</f>
        <v>신장질환 의심</v>
      </c>
      <c r="D1687" s="1" t="str">
        <f>"신장질환에 대한 2차검사를 받으세요."</f>
        <v>신장질환에 대한 2차검사를 받으세요.</v>
      </c>
      <c r="E1687" s="1" t="str">
        <f>""</f>
        <v/>
      </c>
      <c r="F1687" s="1" t="str">
        <f>""</f>
        <v/>
      </c>
      <c r="G1687" s="1" t="str">
        <f>"DISN"</f>
        <v>DISN</v>
      </c>
      <c r="H1687" s="1" t="str">
        <f>"REL08"</f>
        <v>REL08</v>
      </c>
      <c r="I1687" s="1" t="str">
        <f>""</f>
        <v/>
      </c>
      <c r="J1687" s="1" t="str">
        <f>"C44R"</f>
        <v>C44R</v>
      </c>
      <c r="K1687" s="1" t="str">
        <f>"C44R"</f>
        <v>C44R</v>
      </c>
      <c r="L1687" s="1" t="str">
        <f t="shared" si="497"/>
        <v>R</v>
      </c>
      <c r="M1687" s="1" t="str">
        <f>"T05"</f>
        <v>T05</v>
      </c>
      <c r="N1687" s="1" t="str">
        <f t="shared" si="498"/>
        <v>Y</v>
      </c>
      <c r="O1687" s="1" t="str">
        <f t="shared" si="493"/>
        <v>Y</v>
      </c>
      <c r="P1687" s="1" t="str">
        <f t="shared" si="505"/>
        <v>Y</v>
      </c>
      <c r="Q1687" s="1" t="str">
        <f t="shared" si="495"/>
        <v>A</v>
      </c>
    </row>
    <row r="1688" spans="1:17" x14ac:dyDescent="0.3">
      <c r="A1688" s="1" t="str">
        <f t="shared" si="506"/>
        <v>R</v>
      </c>
      <c r="B1688" s="1" t="str">
        <f>"EMP410"</f>
        <v>EMP410</v>
      </c>
      <c r="C1688" s="1" t="str">
        <f t="shared" ref="C1688:C1693" si="507">"혈액질환의심(백혈구증가)"</f>
        <v>혈액질환의심(백혈구증가)</v>
      </c>
      <c r="D1688" s="1" t="str">
        <f>"백혈구증가증에 대한 원인 추적검사를 받으세요."</f>
        <v>백혈구증가증에 대한 원인 추적검사를 받으세요.</v>
      </c>
      <c r="E1688" s="1" t="str">
        <f>""</f>
        <v/>
      </c>
      <c r="F1688" s="1" t="str">
        <f>""</f>
        <v/>
      </c>
      <c r="G1688" s="1" t="str">
        <f t="shared" ref="G1688:G1700" si="508">"DISD"</f>
        <v>DISD</v>
      </c>
      <c r="H1688" s="1" t="str">
        <f t="shared" ref="H1688:H1702" si="509">"REL12"</f>
        <v>REL12</v>
      </c>
      <c r="I1688" s="1" t="str">
        <f>""</f>
        <v/>
      </c>
      <c r="J1688" s="1" t="str">
        <f t="shared" ref="J1688:K1702" si="510">"C34R"</f>
        <v>C34R</v>
      </c>
      <c r="K1688" s="1" t="str">
        <f t="shared" si="510"/>
        <v>C34R</v>
      </c>
      <c r="L1688" s="1" t="str">
        <f t="shared" si="497"/>
        <v>R</v>
      </c>
      <c r="M1688" s="1" t="str">
        <f t="shared" ref="M1688:M1702" si="511">"T01"</f>
        <v>T01</v>
      </c>
      <c r="N1688" s="1" t="str">
        <f t="shared" si="498"/>
        <v>Y</v>
      </c>
      <c r="O1688" s="1" t="str">
        <f t="shared" si="493"/>
        <v>Y</v>
      </c>
      <c r="P1688" s="1" t="str">
        <f t="shared" si="505"/>
        <v>Y</v>
      </c>
      <c r="Q1688" s="1" t="str">
        <f t="shared" si="495"/>
        <v>A</v>
      </c>
    </row>
    <row r="1689" spans="1:17" x14ac:dyDescent="0.3">
      <c r="A1689" s="1" t="str">
        <f t="shared" si="506"/>
        <v>R</v>
      </c>
      <c r="B1689" s="1" t="str">
        <f>"EMP4101"</f>
        <v>EMP4101</v>
      </c>
      <c r="C1689" s="1" t="str">
        <f t="shared" si="507"/>
        <v>혈액질환의심(백혈구증가)</v>
      </c>
      <c r="D1689" s="1" t="str">
        <f>"2차검사(재검) 필요 (특수검진)"</f>
        <v>2차검사(재검) 필요 (특수검진)</v>
      </c>
      <c r="E1689" s="1" t="str">
        <f>""</f>
        <v/>
      </c>
      <c r="F1689" s="1" t="str">
        <f>""</f>
        <v/>
      </c>
      <c r="G1689" s="1" t="str">
        <f t="shared" si="508"/>
        <v>DISD</v>
      </c>
      <c r="H1689" s="1" t="str">
        <f t="shared" si="509"/>
        <v>REL12</v>
      </c>
      <c r="I1689" s="1" t="str">
        <f>""</f>
        <v/>
      </c>
      <c r="J1689" s="1" t="str">
        <f t="shared" si="510"/>
        <v>C34R</v>
      </c>
      <c r="K1689" s="1" t="str">
        <f t="shared" si="510"/>
        <v>C34R</v>
      </c>
      <c r="L1689" s="1" t="str">
        <f t="shared" si="497"/>
        <v>R</v>
      </c>
      <c r="M1689" s="1" t="str">
        <f t="shared" si="511"/>
        <v>T01</v>
      </c>
      <c r="N1689" s="1" t="str">
        <f t="shared" si="498"/>
        <v>Y</v>
      </c>
      <c r="O1689" s="1" t="str">
        <f t="shared" si="493"/>
        <v>Y</v>
      </c>
      <c r="P1689" s="1" t="str">
        <f t="shared" si="505"/>
        <v>Y</v>
      </c>
      <c r="Q1689" s="1" t="str">
        <f t="shared" si="495"/>
        <v>A</v>
      </c>
    </row>
    <row r="1690" spans="1:17" x14ac:dyDescent="0.3">
      <c r="A1690" s="1" t="str">
        <f t="shared" si="506"/>
        <v>R</v>
      </c>
      <c r="B1690" s="1" t="str">
        <f>"EMP4102"</f>
        <v>EMP4102</v>
      </c>
      <c r="C1690" s="1" t="str">
        <f t="shared" si="507"/>
        <v>혈액질환의심(백혈구증가)</v>
      </c>
      <c r="D1690" s="1" t="str">
        <f>"2차검사(재검) 필요 (특수검진)"</f>
        <v>2차검사(재검) 필요 (특수검진)</v>
      </c>
      <c r="E1690" s="1" t="str">
        <f>""</f>
        <v/>
      </c>
      <c r="F1690" s="1" t="str">
        <f>""</f>
        <v/>
      </c>
      <c r="G1690" s="1" t="str">
        <f t="shared" si="508"/>
        <v>DISD</v>
      </c>
      <c r="H1690" s="1" t="str">
        <f t="shared" si="509"/>
        <v>REL12</v>
      </c>
      <c r="I1690" s="1" t="str">
        <f>""</f>
        <v/>
      </c>
      <c r="J1690" s="1" t="str">
        <f t="shared" si="510"/>
        <v>C34R</v>
      </c>
      <c r="K1690" s="1" t="str">
        <f t="shared" si="510"/>
        <v>C34R</v>
      </c>
      <c r="L1690" s="1" t="str">
        <f t="shared" si="497"/>
        <v>R</v>
      </c>
      <c r="M1690" s="1" t="str">
        <f t="shared" si="511"/>
        <v>T01</v>
      </c>
      <c r="N1690" s="1" t="str">
        <f t="shared" si="498"/>
        <v>Y</v>
      </c>
      <c r="O1690" s="1" t="str">
        <f t="shared" si="493"/>
        <v>Y</v>
      </c>
      <c r="P1690" s="1" t="str">
        <f t="shared" si="505"/>
        <v>Y</v>
      </c>
      <c r="Q1690" s="1" t="str">
        <f t="shared" si="495"/>
        <v>A</v>
      </c>
    </row>
    <row r="1691" spans="1:17" x14ac:dyDescent="0.3">
      <c r="A1691" s="1" t="str">
        <f t="shared" si="506"/>
        <v>R</v>
      </c>
      <c r="B1691" s="1" t="str">
        <f>"EMP4103"</f>
        <v>EMP4103</v>
      </c>
      <c r="C1691" s="1" t="str">
        <f t="shared" si="507"/>
        <v>혈액질환의심(백혈구증가)</v>
      </c>
      <c r="D1691" s="1" t="str">
        <f>"2차검사(재검) 필요 (특수검진)"</f>
        <v>2차검사(재검) 필요 (특수검진)</v>
      </c>
      <c r="E1691" s="1" t="str">
        <f>""</f>
        <v/>
      </c>
      <c r="F1691" s="1" t="str">
        <f>""</f>
        <v/>
      </c>
      <c r="G1691" s="1" t="str">
        <f t="shared" si="508"/>
        <v>DISD</v>
      </c>
      <c r="H1691" s="1" t="str">
        <f t="shared" si="509"/>
        <v>REL12</v>
      </c>
      <c r="I1691" s="1" t="str">
        <f>""</f>
        <v/>
      </c>
      <c r="J1691" s="1" t="str">
        <f t="shared" si="510"/>
        <v>C34R</v>
      </c>
      <c r="K1691" s="1" t="str">
        <f t="shared" si="510"/>
        <v>C34R</v>
      </c>
      <c r="L1691" s="1" t="str">
        <f t="shared" si="497"/>
        <v>R</v>
      </c>
      <c r="M1691" s="1" t="str">
        <f t="shared" si="511"/>
        <v>T01</v>
      </c>
      <c r="N1691" s="1" t="str">
        <f t="shared" si="498"/>
        <v>Y</v>
      </c>
      <c r="O1691" s="1" t="str">
        <f t="shared" si="493"/>
        <v>Y</v>
      </c>
      <c r="P1691" s="1" t="str">
        <f t="shared" si="505"/>
        <v>Y</v>
      </c>
      <c r="Q1691" s="1" t="str">
        <f t="shared" si="495"/>
        <v>A</v>
      </c>
    </row>
    <row r="1692" spans="1:17" x14ac:dyDescent="0.3">
      <c r="A1692" s="1" t="str">
        <f t="shared" si="506"/>
        <v>R</v>
      </c>
      <c r="B1692" s="1" t="str">
        <f>"EMP4104"</f>
        <v>EMP4104</v>
      </c>
      <c r="C1692" s="1" t="str">
        <f t="shared" si="507"/>
        <v>혈액질환의심(백혈구증가)</v>
      </c>
      <c r="D1692" s="1" t="str">
        <f>"2차검사(재검) 필요 (특수검진)"</f>
        <v>2차검사(재검) 필요 (특수검진)</v>
      </c>
      <c r="E1692" s="1" t="str">
        <f>""</f>
        <v/>
      </c>
      <c r="F1692" s="1" t="str">
        <f>""</f>
        <v/>
      </c>
      <c r="G1692" s="1" t="str">
        <f t="shared" si="508"/>
        <v>DISD</v>
      </c>
      <c r="H1692" s="1" t="str">
        <f t="shared" si="509"/>
        <v>REL12</v>
      </c>
      <c r="I1692" s="1" t="str">
        <f>""</f>
        <v/>
      </c>
      <c r="J1692" s="1" t="str">
        <f t="shared" si="510"/>
        <v>C34R</v>
      </c>
      <c r="K1692" s="1" t="str">
        <f t="shared" si="510"/>
        <v>C34R</v>
      </c>
      <c r="L1692" s="1" t="str">
        <f t="shared" si="497"/>
        <v>R</v>
      </c>
      <c r="M1692" s="1" t="str">
        <f t="shared" si="511"/>
        <v>T01</v>
      </c>
      <c r="N1692" s="1" t="str">
        <f t="shared" si="498"/>
        <v>Y</v>
      </c>
      <c r="O1692" s="1" t="str">
        <f t="shared" si="493"/>
        <v>Y</v>
      </c>
      <c r="P1692" s="1" t="str">
        <f t="shared" si="505"/>
        <v>Y</v>
      </c>
      <c r="Q1692" s="1" t="str">
        <f t="shared" si="495"/>
        <v>A</v>
      </c>
    </row>
    <row r="1693" spans="1:17" x14ac:dyDescent="0.3">
      <c r="A1693" s="1" t="str">
        <f t="shared" si="506"/>
        <v>R</v>
      </c>
      <c r="B1693" s="1" t="str">
        <f>"EMP4105"</f>
        <v>EMP4105</v>
      </c>
      <c r="C1693" s="1" t="str">
        <f t="shared" si="507"/>
        <v>혈액질환의심(백혈구증가)</v>
      </c>
      <c r="D1693" s="1" t="str">
        <f>"2차검사(재검) 필요 (특수검진)"</f>
        <v>2차검사(재검) 필요 (특수검진)</v>
      </c>
      <c r="E1693" s="1" t="str">
        <f>""</f>
        <v/>
      </c>
      <c r="F1693" s="1" t="str">
        <f>""</f>
        <v/>
      </c>
      <c r="G1693" s="1" t="str">
        <f t="shared" si="508"/>
        <v>DISD</v>
      </c>
      <c r="H1693" s="1" t="str">
        <f t="shared" si="509"/>
        <v>REL12</v>
      </c>
      <c r="I1693" s="1" t="str">
        <f>""</f>
        <v/>
      </c>
      <c r="J1693" s="1" t="str">
        <f t="shared" si="510"/>
        <v>C34R</v>
      </c>
      <c r="K1693" s="1" t="str">
        <f t="shared" si="510"/>
        <v>C34R</v>
      </c>
      <c r="L1693" s="1" t="str">
        <f t="shared" si="497"/>
        <v>R</v>
      </c>
      <c r="M1693" s="1" t="str">
        <f t="shared" si="511"/>
        <v>T01</v>
      </c>
      <c r="N1693" s="1" t="str">
        <f t="shared" si="498"/>
        <v>Y</v>
      </c>
      <c r="O1693" s="1" t="str">
        <f t="shared" si="493"/>
        <v>Y</v>
      </c>
      <c r="P1693" s="1" t="str">
        <f t="shared" si="505"/>
        <v>Y</v>
      </c>
      <c r="Q1693" s="1" t="str">
        <f t="shared" si="495"/>
        <v>A</v>
      </c>
    </row>
    <row r="1694" spans="1:17" x14ac:dyDescent="0.3">
      <c r="A1694" s="1" t="str">
        <f t="shared" si="506"/>
        <v>R</v>
      </c>
      <c r="B1694" s="1" t="str">
        <f>"EMP411"</f>
        <v>EMP411</v>
      </c>
      <c r="C1694" s="1" t="str">
        <f t="shared" ref="C1694:C1699" si="512">"혈액질환의심(백혈구감소)"</f>
        <v>혈액질환의심(백혈구감소)</v>
      </c>
      <c r="D1694" s="1" t="str">
        <f>"백혈구 수치가 감소되어 있습니다. 정확한 진단을 위하여 추가검사가 필요합니다. 2차검사(재검)을 받으세요."</f>
        <v>백혈구 수치가 감소되어 있습니다. 정확한 진단을 위하여 추가검사가 필요합니다. 2차검사(재검)을 받으세요.</v>
      </c>
      <c r="E1694" s="1" t="str">
        <f>""</f>
        <v/>
      </c>
      <c r="F1694" s="1" t="str">
        <f>""</f>
        <v/>
      </c>
      <c r="G1694" s="1" t="str">
        <f t="shared" si="508"/>
        <v>DISD</v>
      </c>
      <c r="H1694" s="1" t="str">
        <f t="shared" si="509"/>
        <v>REL12</v>
      </c>
      <c r="I1694" s="1" t="str">
        <f>""</f>
        <v/>
      </c>
      <c r="J1694" s="1" t="str">
        <f t="shared" si="510"/>
        <v>C34R</v>
      </c>
      <c r="K1694" s="1" t="str">
        <f t="shared" si="510"/>
        <v>C34R</v>
      </c>
      <c r="L1694" s="1" t="str">
        <f t="shared" si="497"/>
        <v>R</v>
      </c>
      <c r="M1694" s="1" t="str">
        <f t="shared" si="511"/>
        <v>T01</v>
      </c>
      <c r="N1694" s="1" t="str">
        <f t="shared" si="498"/>
        <v>Y</v>
      </c>
      <c r="O1694" s="1" t="str">
        <f t="shared" si="493"/>
        <v>Y</v>
      </c>
      <c r="P1694" s="1" t="str">
        <f t="shared" si="505"/>
        <v>Y</v>
      </c>
      <c r="Q1694" s="1" t="str">
        <f t="shared" si="495"/>
        <v>A</v>
      </c>
    </row>
    <row r="1695" spans="1:17" x14ac:dyDescent="0.3">
      <c r="A1695" s="1" t="str">
        <f t="shared" si="506"/>
        <v>R</v>
      </c>
      <c r="B1695" s="1" t="str">
        <f>"EMP4111"</f>
        <v>EMP4111</v>
      </c>
      <c r="C1695" s="1" t="str">
        <f t="shared" si="512"/>
        <v>혈액질환의심(백혈구감소)</v>
      </c>
      <c r="D1695" s="1" t="str">
        <f>"2차검사(재검) 필요 (특수검진)"</f>
        <v>2차검사(재검) 필요 (특수검진)</v>
      </c>
      <c r="E1695" s="1" t="str">
        <f>""</f>
        <v/>
      </c>
      <c r="F1695" s="1" t="str">
        <f>""</f>
        <v/>
      </c>
      <c r="G1695" s="1" t="str">
        <f t="shared" si="508"/>
        <v>DISD</v>
      </c>
      <c r="H1695" s="1" t="str">
        <f t="shared" si="509"/>
        <v>REL12</v>
      </c>
      <c r="I1695" s="1" t="str">
        <f>""</f>
        <v/>
      </c>
      <c r="J1695" s="1" t="str">
        <f t="shared" si="510"/>
        <v>C34R</v>
      </c>
      <c r="K1695" s="1" t="str">
        <f t="shared" si="510"/>
        <v>C34R</v>
      </c>
      <c r="L1695" s="1" t="str">
        <f t="shared" si="497"/>
        <v>R</v>
      </c>
      <c r="M1695" s="1" t="str">
        <f t="shared" si="511"/>
        <v>T01</v>
      </c>
      <c r="N1695" s="1" t="str">
        <f t="shared" si="498"/>
        <v>Y</v>
      </c>
      <c r="O1695" s="1" t="str">
        <f t="shared" si="493"/>
        <v>Y</v>
      </c>
      <c r="P1695" s="1" t="str">
        <f t="shared" si="505"/>
        <v>Y</v>
      </c>
      <c r="Q1695" s="1" t="str">
        <f t="shared" si="495"/>
        <v>A</v>
      </c>
    </row>
    <row r="1696" spans="1:17" x14ac:dyDescent="0.3">
      <c r="A1696" s="1" t="str">
        <f t="shared" si="506"/>
        <v>R</v>
      </c>
      <c r="B1696" s="1" t="str">
        <f>"EMP4112"</f>
        <v>EMP4112</v>
      </c>
      <c r="C1696" s="1" t="str">
        <f t="shared" si="512"/>
        <v>혈액질환의심(백혈구감소)</v>
      </c>
      <c r="D1696" s="1" t="str">
        <f>"2차검사(재검) 필요 (특수검진)"</f>
        <v>2차검사(재검) 필요 (특수검진)</v>
      </c>
      <c r="E1696" s="1" t="str">
        <f>""</f>
        <v/>
      </c>
      <c r="F1696" s="1" t="str">
        <f>""</f>
        <v/>
      </c>
      <c r="G1696" s="1" t="str">
        <f t="shared" si="508"/>
        <v>DISD</v>
      </c>
      <c r="H1696" s="1" t="str">
        <f t="shared" si="509"/>
        <v>REL12</v>
      </c>
      <c r="I1696" s="1" t="str">
        <f>""</f>
        <v/>
      </c>
      <c r="J1696" s="1" t="str">
        <f t="shared" si="510"/>
        <v>C34R</v>
      </c>
      <c r="K1696" s="1" t="str">
        <f t="shared" si="510"/>
        <v>C34R</v>
      </c>
      <c r="L1696" s="1" t="str">
        <f t="shared" si="497"/>
        <v>R</v>
      </c>
      <c r="M1696" s="1" t="str">
        <f t="shared" si="511"/>
        <v>T01</v>
      </c>
      <c r="N1696" s="1" t="str">
        <f t="shared" si="498"/>
        <v>Y</v>
      </c>
      <c r="O1696" s="1" t="str">
        <f t="shared" si="493"/>
        <v>Y</v>
      </c>
      <c r="P1696" s="1" t="str">
        <f t="shared" si="505"/>
        <v>Y</v>
      </c>
      <c r="Q1696" s="1" t="str">
        <f t="shared" si="495"/>
        <v>A</v>
      </c>
    </row>
    <row r="1697" spans="1:17" x14ac:dyDescent="0.3">
      <c r="A1697" s="1" t="str">
        <f t="shared" si="506"/>
        <v>R</v>
      </c>
      <c r="B1697" s="1" t="str">
        <f>"EMP4113"</f>
        <v>EMP4113</v>
      </c>
      <c r="C1697" s="1" t="str">
        <f t="shared" si="512"/>
        <v>혈액질환의심(백혈구감소)</v>
      </c>
      <c r="D1697" s="1" t="str">
        <f>"2차검사(재검) 필요 (특수검진)"</f>
        <v>2차검사(재검) 필요 (특수검진)</v>
      </c>
      <c r="E1697" s="1" t="str">
        <f>""</f>
        <v/>
      </c>
      <c r="F1697" s="1" t="str">
        <f>""</f>
        <v/>
      </c>
      <c r="G1697" s="1" t="str">
        <f t="shared" si="508"/>
        <v>DISD</v>
      </c>
      <c r="H1697" s="1" t="str">
        <f t="shared" si="509"/>
        <v>REL12</v>
      </c>
      <c r="I1697" s="1" t="str">
        <f>""</f>
        <v/>
      </c>
      <c r="J1697" s="1" t="str">
        <f t="shared" si="510"/>
        <v>C34R</v>
      </c>
      <c r="K1697" s="1" t="str">
        <f t="shared" si="510"/>
        <v>C34R</v>
      </c>
      <c r="L1697" s="1" t="str">
        <f t="shared" si="497"/>
        <v>R</v>
      </c>
      <c r="M1697" s="1" t="str">
        <f t="shared" si="511"/>
        <v>T01</v>
      </c>
      <c r="N1697" s="1" t="str">
        <f t="shared" si="498"/>
        <v>Y</v>
      </c>
      <c r="O1697" s="1" t="str">
        <f t="shared" si="493"/>
        <v>Y</v>
      </c>
      <c r="P1697" s="1" t="str">
        <f t="shared" si="505"/>
        <v>Y</v>
      </c>
      <c r="Q1697" s="1" t="str">
        <f t="shared" si="495"/>
        <v>A</v>
      </c>
    </row>
    <row r="1698" spans="1:17" x14ac:dyDescent="0.3">
      <c r="A1698" s="1" t="str">
        <f t="shared" si="506"/>
        <v>R</v>
      </c>
      <c r="B1698" s="1" t="str">
        <f>"EMP4114"</f>
        <v>EMP4114</v>
      </c>
      <c r="C1698" s="1" t="str">
        <f t="shared" si="512"/>
        <v>혈액질환의심(백혈구감소)</v>
      </c>
      <c r="D1698" s="1" t="str">
        <f>"2차검사(재검) 필요 (특수검진)"</f>
        <v>2차검사(재검) 필요 (특수검진)</v>
      </c>
      <c r="E1698" s="1" t="str">
        <f>""</f>
        <v/>
      </c>
      <c r="F1698" s="1" t="str">
        <f>""</f>
        <v/>
      </c>
      <c r="G1698" s="1" t="str">
        <f t="shared" si="508"/>
        <v>DISD</v>
      </c>
      <c r="H1698" s="1" t="str">
        <f t="shared" si="509"/>
        <v>REL12</v>
      </c>
      <c r="I1698" s="1" t="str">
        <f>""</f>
        <v/>
      </c>
      <c r="J1698" s="1" t="str">
        <f t="shared" si="510"/>
        <v>C34R</v>
      </c>
      <c r="K1698" s="1" t="str">
        <f t="shared" si="510"/>
        <v>C34R</v>
      </c>
      <c r="L1698" s="1" t="str">
        <f t="shared" si="497"/>
        <v>R</v>
      </c>
      <c r="M1698" s="1" t="str">
        <f t="shared" si="511"/>
        <v>T01</v>
      </c>
      <c r="N1698" s="1" t="str">
        <f t="shared" si="498"/>
        <v>Y</v>
      </c>
      <c r="O1698" s="1" t="str">
        <f t="shared" si="493"/>
        <v>Y</v>
      </c>
      <c r="P1698" s="1" t="str">
        <f t="shared" si="505"/>
        <v>Y</v>
      </c>
      <c r="Q1698" s="1" t="str">
        <f t="shared" si="495"/>
        <v>A</v>
      </c>
    </row>
    <row r="1699" spans="1:17" x14ac:dyDescent="0.3">
      <c r="A1699" s="1" t="str">
        <f t="shared" si="506"/>
        <v>R</v>
      </c>
      <c r="B1699" s="1" t="str">
        <f>"EMP4115"</f>
        <v>EMP4115</v>
      </c>
      <c r="C1699" s="1" t="str">
        <f t="shared" si="512"/>
        <v>혈액질환의심(백혈구감소)</v>
      </c>
      <c r="D1699" s="1" t="str">
        <f>"2차검사(재검) 필요 (특수검진)"</f>
        <v>2차검사(재검) 필요 (특수검진)</v>
      </c>
      <c r="E1699" s="1" t="str">
        <f>""</f>
        <v/>
      </c>
      <c r="F1699" s="1" t="str">
        <f>""</f>
        <v/>
      </c>
      <c r="G1699" s="1" t="str">
        <f t="shared" si="508"/>
        <v>DISD</v>
      </c>
      <c r="H1699" s="1" t="str">
        <f t="shared" si="509"/>
        <v>REL12</v>
      </c>
      <c r="I1699" s="1" t="str">
        <f>""</f>
        <v/>
      </c>
      <c r="J1699" s="1" t="str">
        <f t="shared" si="510"/>
        <v>C34R</v>
      </c>
      <c r="K1699" s="1" t="str">
        <f t="shared" si="510"/>
        <v>C34R</v>
      </c>
      <c r="L1699" s="1" t="str">
        <f t="shared" si="497"/>
        <v>R</v>
      </c>
      <c r="M1699" s="1" t="str">
        <f t="shared" si="511"/>
        <v>T01</v>
      </c>
      <c r="N1699" s="1" t="str">
        <f t="shared" si="498"/>
        <v>Y</v>
      </c>
      <c r="O1699" s="1" t="str">
        <f t="shared" si="493"/>
        <v>Y</v>
      </c>
      <c r="P1699" s="1" t="str">
        <f t="shared" si="505"/>
        <v>Y</v>
      </c>
      <c r="Q1699" s="1" t="str">
        <f t="shared" si="495"/>
        <v>A</v>
      </c>
    </row>
    <row r="1700" spans="1:17" x14ac:dyDescent="0.3">
      <c r="A1700" s="1" t="str">
        <f t="shared" si="506"/>
        <v>R</v>
      </c>
      <c r="B1700" s="1" t="str">
        <f>"EMP412"</f>
        <v>EMP412</v>
      </c>
      <c r="C1700" s="1" t="str">
        <f>"혈소판 감소증(혈액질환의심)"</f>
        <v>혈소판 감소증(혈액질환의심)</v>
      </c>
      <c r="D1700" s="1" t="str">
        <f>"혈액 정밀검사와 업무적합성평가가 필요합니다."</f>
        <v>혈액 정밀검사와 업무적합성평가가 필요합니다.</v>
      </c>
      <c r="E1700" s="1" t="str">
        <f>""</f>
        <v/>
      </c>
      <c r="F1700" s="1" t="str">
        <f>"PTM04"</f>
        <v>PTM04</v>
      </c>
      <c r="G1700" s="1" t="str">
        <f t="shared" si="508"/>
        <v>DISD</v>
      </c>
      <c r="H1700" s="1" t="str">
        <f t="shared" si="509"/>
        <v>REL12</v>
      </c>
      <c r="I1700" s="1" t="str">
        <f>""</f>
        <v/>
      </c>
      <c r="J1700" s="1" t="str">
        <f t="shared" si="510"/>
        <v>C34R</v>
      </c>
      <c r="K1700" s="1" t="str">
        <f t="shared" si="510"/>
        <v>C34R</v>
      </c>
      <c r="L1700" s="1" t="str">
        <f t="shared" si="497"/>
        <v>R</v>
      </c>
      <c r="M1700" s="1" t="str">
        <f t="shared" si="511"/>
        <v>T01</v>
      </c>
      <c r="N1700" s="1" t="str">
        <f t="shared" si="498"/>
        <v>Y</v>
      </c>
      <c r="O1700" s="1" t="str">
        <f t="shared" si="493"/>
        <v>Y</v>
      </c>
      <c r="P1700" s="1" t="str">
        <f t="shared" si="505"/>
        <v>Y</v>
      </c>
      <c r="Q1700" s="1" t="str">
        <f t="shared" si="495"/>
        <v>A</v>
      </c>
    </row>
    <row r="1701" spans="1:17" x14ac:dyDescent="0.3">
      <c r="A1701" s="1" t="str">
        <f t="shared" si="506"/>
        <v>R</v>
      </c>
      <c r="B1701" s="1" t="str">
        <f>"EMP4120"</f>
        <v>EMP4120</v>
      </c>
      <c r="C1701" s="1" t="str">
        <f>"혈액질환의심(방사선관련)"</f>
        <v>혈액질환의심(방사선관련)</v>
      </c>
      <c r="D1701" s="1" t="str">
        <f>"혈액검사에서 이상소견이 있습니다. 2차 검사(말초혈액도말검사 등 추가검사)를 받으시기 바랍니다."</f>
        <v>혈액검사에서 이상소견이 있습니다. 2차 검사(말초혈액도말검사 등 추가검사)를 받으시기 바랍니다.</v>
      </c>
      <c r="E1701" s="1" t="str">
        <f>""</f>
        <v/>
      </c>
      <c r="F1701" s="1" t="str">
        <f>""</f>
        <v/>
      </c>
      <c r="G1701" s="1" t="str">
        <f>"DIS151"</f>
        <v>DIS151</v>
      </c>
      <c r="H1701" s="1" t="str">
        <f t="shared" si="509"/>
        <v>REL12</v>
      </c>
      <c r="I1701" s="1" t="str">
        <f>"09"</f>
        <v>09</v>
      </c>
      <c r="J1701" s="1" t="str">
        <f t="shared" si="510"/>
        <v>C34R</v>
      </c>
      <c r="K1701" s="1" t="str">
        <f t="shared" si="510"/>
        <v>C34R</v>
      </c>
      <c r="L1701" s="1" t="str">
        <f t="shared" si="497"/>
        <v>R</v>
      </c>
      <c r="M1701" s="1" t="str">
        <f t="shared" si="511"/>
        <v>T01</v>
      </c>
      <c r="N1701" s="1" t="str">
        <f t="shared" si="498"/>
        <v>Y</v>
      </c>
      <c r="O1701" s="1" t="str">
        <f t="shared" si="493"/>
        <v>Y</v>
      </c>
      <c r="P1701" s="1" t="str">
        <f t="shared" si="505"/>
        <v>Y</v>
      </c>
      <c r="Q1701" s="1" t="str">
        <f t="shared" si="495"/>
        <v>A</v>
      </c>
    </row>
    <row r="1702" spans="1:17" x14ac:dyDescent="0.3">
      <c r="A1702" s="1" t="str">
        <f t="shared" si="506"/>
        <v>R</v>
      </c>
      <c r="B1702" s="1" t="str">
        <f>"EMP4121"</f>
        <v>EMP4121</v>
      </c>
      <c r="C1702" s="1" t="str">
        <f>"혈액질환의심"</f>
        <v>혈액질환의심</v>
      </c>
      <c r="D1702" s="1" t="str">
        <f>"혈액검사에서 이상소견이 있습니다. 말초혈액도말검사 등 추가검사를 받으시고 검사결과를 확인하시기 바랍니다."</f>
        <v>혈액검사에서 이상소견이 있습니다. 말초혈액도말검사 등 추가검사를 받으시고 검사결과를 확인하시기 바랍니다.</v>
      </c>
      <c r="E1702" s="1" t="str">
        <f>""</f>
        <v/>
      </c>
      <c r="F1702" s="1" t="str">
        <f>""</f>
        <v/>
      </c>
      <c r="G1702" s="1" t="str">
        <f>"DIS151"</f>
        <v>DIS151</v>
      </c>
      <c r="H1702" s="1" t="str">
        <f t="shared" si="509"/>
        <v>REL12</v>
      </c>
      <c r="I1702" s="1" t="str">
        <f>"09"</f>
        <v>09</v>
      </c>
      <c r="J1702" s="1" t="str">
        <f t="shared" si="510"/>
        <v>C34R</v>
      </c>
      <c r="K1702" s="1" t="str">
        <f t="shared" si="510"/>
        <v>C34R</v>
      </c>
      <c r="L1702" s="1" t="str">
        <f t="shared" si="497"/>
        <v>R</v>
      </c>
      <c r="M1702" s="1" t="str">
        <f t="shared" si="511"/>
        <v>T01</v>
      </c>
      <c r="N1702" s="1" t="str">
        <f t="shared" si="498"/>
        <v>Y</v>
      </c>
      <c r="O1702" s="1" t="str">
        <f t="shared" si="493"/>
        <v>Y</v>
      </c>
      <c r="P1702" s="1" t="str">
        <f t="shared" si="505"/>
        <v>Y</v>
      </c>
      <c r="Q1702" s="1" t="str">
        <f t="shared" si="495"/>
        <v>A</v>
      </c>
    </row>
    <row r="1703" spans="1:17" x14ac:dyDescent="0.3">
      <c r="A1703" s="1" t="str">
        <f t="shared" si="506"/>
        <v>R</v>
      </c>
      <c r="B1703" s="1" t="str">
        <f>"EMPX13"</f>
        <v>EMPX13</v>
      </c>
      <c r="C1703" s="1" t="str">
        <f>"척추분리증의심"</f>
        <v>척추분리증의심</v>
      </c>
      <c r="D1703" s="1" t="str">
        <f>"척추분리증에 대한 정밀검사 요합니다."</f>
        <v>척추분리증에 대한 정밀검사 요합니다.</v>
      </c>
      <c r="E1703" s="1" t="str">
        <f>""</f>
        <v/>
      </c>
      <c r="F1703" s="1" t="str">
        <f>""</f>
        <v/>
      </c>
      <c r="G1703" s="1" t="str">
        <f>"DISM"</f>
        <v>DISM</v>
      </c>
      <c r="H1703" s="1" t="str">
        <f>"REL22"</f>
        <v>REL22</v>
      </c>
      <c r="I1703" s="1" t="str">
        <f>""</f>
        <v/>
      </c>
      <c r="J1703" s="1" t="str">
        <f>"C43R"</f>
        <v>C43R</v>
      </c>
      <c r="K1703" s="1" t="str">
        <f>"C43R"</f>
        <v>C43R</v>
      </c>
      <c r="L1703" s="1" t="str">
        <f t="shared" si="497"/>
        <v>R</v>
      </c>
      <c r="M1703" s="1" t="str">
        <f>""</f>
        <v/>
      </c>
      <c r="N1703" s="1" t="str">
        <f t="shared" si="498"/>
        <v>Y</v>
      </c>
      <c r="O1703" s="1" t="str">
        <f t="shared" si="493"/>
        <v>Y</v>
      </c>
      <c r="P1703" s="1" t="str">
        <f t="shared" si="505"/>
        <v>Y</v>
      </c>
      <c r="Q1703" s="1" t="str">
        <f t="shared" si="495"/>
        <v>A</v>
      </c>
    </row>
    <row r="1704" spans="1:17" x14ac:dyDescent="0.3">
      <c r="A1704" s="1" t="str">
        <f t="shared" si="506"/>
        <v>R</v>
      </c>
      <c r="B1704" s="1" t="str">
        <f>"EMPX20"</f>
        <v>EMPX20</v>
      </c>
      <c r="C1704" s="1" t="str">
        <f>"요추부 만곡도 소실"</f>
        <v>요추부 만곡도 소실</v>
      </c>
      <c r="D1704" s="1" t="str">
        <f>"요추주위 근육긴장이 주원인이며 요통에 의한 근육긴장일 수 있으므로 요추부 정밀검사 요합니다."</f>
        <v>요추주위 근육긴장이 주원인이며 요통에 의한 근육긴장일 수 있으므로 요추부 정밀검사 요합니다.</v>
      </c>
      <c r="E1704" s="1" t="str">
        <f>""</f>
        <v/>
      </c>
      <c r="F1704" s="1" t="str">
        <f>"PTM01"</f>
        <v>PTM01</v>
      </c>
      <c r="G1704" s="1" t="str">
        <f>"DISM"</f>
        <v>DISM</v>
      </c>
      <c r="H1704" s="1" t="str">
        <f>"REL22"</f>
        <v>REL22</v>
      </c>
      <c r="I1704" s="1" t="str">
        <f>""</f>
        <v/>
      </c>
      <c r="J1704" s="1" t="str">
        <f>"C43R"</f>
        <v>C43R</v>
      </c>
      <c r="K1704" s="1" t="str">
        <f>"C43R"</f>
        <v>C43R</v>
      </c>
      <c r="L1704" s="1" t="str">
        <f t="shared" si="497"/>
        <v>R</v>
      </c>
      <c r="M1704" s="1" t="str">
        <f>""</f>
        <v/>
      </c>
      <c r="N1704" s="1" t="str">
        <f t="shared" si="498"/>
        <v>Y</v>
      </c>
      <c r="O1704" s="1" t="str">
        <f t="shared" si="493"/>
        <v>Y</v>
      </c>
      <c r="P1704" s="1" t="str">
        <f t="shared" si="505"/>
        <v>Y</v>
      </c>
      <c r="Q1704" s="1" t="str">
        <f t="shared" si="495"/>
        <v>A</v>
      </c>
    </row>
    <row r="1705" spans="1:17" x14ac:dyDescent="0.3">
      <c r="A1705" s="1" t="str">
        <f t="shared" si="506"/>
        <v>R</v>
      </c>
      <c r="B1705" s="1" t="str">
        <f>"GNAFP02"</f>
        <v>GNAFP02</v>
      </c>
      <c r="C1705" s="1" t="str">
        <f>"AFP 상승"</f>
        <v>AFP 상승</v>
      </c>
      <c r="D1705" s="1" t="s">
        <v>285</v>
      </c>
      <c r="E1705" s="1" t="str">
        <f>"WOK02"</f>
        <v>WOK02</v>
      </c>
      <c r="F1705" s="1" t="str">
        <f>""</f>
        <v/>
      </c>
      <c r="G1705" s="1" t="str">
        <f>"DISK"</f>
        <v>DISK</v>
      </c>
      <c r="H1705" s="1" t="str">
        <f>"REL05"</f>
        <v>REL05</v>
      </c>
      <c r="I1705" s="1" t="str">
        <f>""</f>
        <v/>
      </c>
      <c r="J1705" s="1" t="str">
        <f>""</f>
        <v/>
      </c>
      <c r="K1705" s="1" t="str">
        <f>""</f>
        <v/>
      </c>
      <c r="L1705" s="1" t="str">
        <f t="shared" si="497"/>
        <v>R</v>
      </c>
      <c r="M1705" s="1" t="str">
        <f>"T02"</f>
        <v>T02</v>
      </c>
      <c r="N1705" s="1" t="str">
        <f t="shared" si="498"/>
        <v>Y</v>
      </c>
      <c r="O1705" s="1" t="str">
        <f t="shared" si="493"/>
        <v>Y</v>
      </c>
      <c r="P1705" s="1" t="str">
        <f t="shared" si="505"/>
        <v>Y</v>
      </c>
      <c r="Q1705" s="1" t="str">
        <f t="shared" si="495"/>
        <v>A</v>
      </c>
    </row>
    <row r="1706" spans="1:17" x14ac:dyDescent="0.3">
      <c r="A1706" s="1" t="str">
        <f t="shared" si="506"/>
        <v>R</v>
      </c>
      <c r="B1706" s="1" t="str">
        <f>"GNSNBC105"</f>
        <v>GNSNBC105</v>
      </c>
      <c r="C1706" s="1" t="str">
        <f>"내분비계(야간작업) 유방질환 의심"</f>
        <v>내분비계(야간작업) 유방질환 의심</v>
      </c>
      <c r="D1706" s="1" t="str">
        <f>"유방질환 의심 소견이 있습니다. 2차 검사를 받으시기 바랍니다."</f>
        <v>유방질환 의심 소견이 있습니다. 2차 검사를 받으시기 바랍니다.</v>
      </c>
      <c r="E1706" s="1" t="str">
        <f>""</f>
        <v/>
      </c>
      <c r="F1706" s="1" t="str">
        <f>""</f>
        <v/>
      </c>
      <c r="G1706" s="1" t="str">
        <f t="shared" ref="G1706:G1712" si="513">"DIS600"</f>
        <v>DIS600</v>
      </c>
      <c r="H1706" s="1" t="str">
        <f>"REL23"</f>
        <v>REL23</v>
      </c>
      <c r="I1706" s="1" t="str">
        <f t="shared" ref="I1706:I1712" si="514">"P0601"</f>
        <v>P0601</v>
      </c>
      <c r="J1706" s="1" t="str">
        <f t="shared" ref="J1706:K1712" si="515">"N01R"</f>
        <v>N01R</v>
      </c>
      <c r="K1706" s="1" t="str">
        <f t="shared" si="515"/>
        <v>N01R</v>
      </c>
      <c r="L1706" s="1" t="str">
        <f t="shared" si="497"/>
        <v>R</v>
      </c>
      <c r="M1706" s="1" t="str">
        <f>"T211"</f>
        <v>T211</v>
      </c>
      <c r="N1706" s="1" t="str">
        <f t="shared" si="498"/>
        <v>Y</v>
      </c>
      <c r="O1706" s="1" t="str">
        <f t="shared" si="493"/>
        <v>Y</v>
      </c>
      <c r="P1706" s="1" t="str">
        <f t="shared" si="505"/>
        <v>Y</v>
      </c>
      <c r="Q1706" s="1" t="str">
        <f t="shared" si="495"/>
        <v>A</v>
      </c>
    </row>
    <row r="1707" spans="1:17" x14ac:dyDescent="0.3">
      <c r="A1707" s="1" t="str">
        <f t="shared" si="506"/>
        <v>R</v>
      </c>
      <c r="B1707" s="1" t="str">
        <f>"GNSNBP105"</f>
        <v>GNSNBP105</v>
      </c>
      <c r="C1707" s="1" t="str">
        <f>"고혈압 의심"</f>
        <v>고혈압 의심</v>
      </c>
      <c r="D1707" s="1" t="s">
        <v>491</v>
      </c>
      <c r="E1707" s="1" t="str">
        <f>""</f>
        <v/>
      </c>
      <c r="F1707" s="1" t="str">
        <f>""</f>
        <v/>
      </c>
      <c r="G1707" s="1" t="str">
        <f t="shared" si="513"/>
        <v>DIS600</v>
      </c>
      <c r="H1707" s="1" t="str">
        <f>"REL06"</f>
        <v>REL06</v>
      </c>
      <c r="I1707" s="1" t="str">
        <f t="shared" si="514"/>
        <v>P0601</v>
      </c>
      <c r="J1707" s="1" t="str">
        <f t="shared" si="515"/>
        <v>N01R</v>
      </c>
      <c r="K1707" s="1" t="str">
        <f t="shared" si="515"/>
        <v>N01R</v>
      </c>
      <c r="L1707" s="1" t="str">
        <f t="shared" si="497"/>
        <v>R</v>
      </c>
      <c r="M1707" s="1" t="str">
        <f>"T031"</f>
        <v>T031</v>
      </c>
      <c r="N1707" s="1" t="str">
        <f t="shared" si="498"/>
        <v>Y</v>
      </c>
      <c r="O1707" s="1" t="str">
        <f t="shared" si="493"/>
        <v>Y</v>
      </c>
      <c r="P1707" s="1" t="str">
        <f t="shared" si="505"/>
        <v>Y</v>
      </c>
      <c r="Q1707" s="1" t="str">
        <f t="shared" si="495"/>
        <v>A</v>
      </c>
    </row>
    <row r="1708" spans="1:17" x14ac:dyDescent="0.3">
      <c r="A1708" s="1" t="str">
        <f t="shared" si="506"/>
        <v>R</v>
      </c>
      <c r="B1708" s="1" t="str">
        <f>"GNSNBP106"</f>
        <v>GNSNBP106</v>
      </c>
      <c r="C1708" s="1" t="str">
        <f>"고혈압 재검사"</f>
        <v>고혈압 재검사</v>
      </c>
      <c r="D1708" s="1" t="str">
        <f>"정확한 진단 위하여 추가 검사가 필요합니다. 충분한 수면을 취하고 8시간 금식 이후에 재검사 바랍니다."</f>
        <v>정확한 진단 위하여 추가 검사가 필요합니다. 충분한 수면을 취하고 8시간 금식 이후에 재검사 바랍니다.</v>
      </c>
      <c r="E1708" s="1" t="str">
        <f>""</f>
        <v/>
      </c>
      <c r="F1708" s="1" t="str">
        <f>""</f>
        <v/>
      </c>
      <c r="G1708" s="1" t="str">
        <f t="shared" si="513"/>
        <v>DIS600</v>
      </c>
      <c r="H1708" s="1" t="str">
        <f>"REL06"</f>
        <v>REL06</v>
      </c>
      <c r="I1708" s="1" t="str">
        <f t="shared" si="514"/>
        <v>P0601</v>
      </c>
      <c r="J1708" s="1" t="str">
        <f t="shared" si="515"/>
        <v>N01R</v>
      </c>
      <c r="K1708" s="1" t="str">
        <f t="shared" si="515"/>
        <v>N01R</v>
      </c>
      <c r="L1708" s="1" t="str">
        <f t="shared" si="497"/>
        <v>R</v>
      </c>
      <c r="M1708" s="1" t="str">
        <f>"T031"</f>
        <v>T031</v>
      </c>
      <c r="N1708" s="1" t="str">
        <f t="shared" si="498"/>
        <v>Y</v>
      </c>
      <c r="O1708" s="1" t="str">
        <f t="shared" si="493"/>
        <v>Y</v>
      </c>
      <c r="P1708" s="1" t="str">
        <f t="shared" si="505"/>
        <v>Y</v>
      </c>
      <c r="Q1708" s="1" t="str">
        <f t="shared" si="495"/>
        <v>A</v>
      </c>
    </row>
    <row r="1709" spans="1:17" x14ac:dyDescent="0.3">
      <c r="A1709" s="1" t="str">
        <f t="shared" si="506"/>
        <v>R</v>
      </c>
      <c r="B1709" s="1" t="str">
        <f>"GNSNDL105"</f>
        <v>GNSNDL105</v>
      </c>
      <c r="C1709" s="1" t="str">
        <f>"이상지질혈증 재검사"</f>
        <v>이상지질혈증 재검사</v>
      </c>
      <c r="D1709" s="1" t="str">
        <f>"정확한 진단 위하여 추가 검사가 필요합니다. 충분한 수면을 취하고 8시간 금식 이후에 재검사 바랍니다."</f>
        <v>정확한 진단 위하여 추가 검사가 필요합니다. 충분한 수면을 취하고 8시간 금식 이후에 재검사 바랍니다.</v>
      </c>
      <c r="E1709" s="1" t="str">
        <f>""</f>
        <v/>
      </c>
      <c r="F1709" s="1" t="str">
        <f>""</f>
        <v/>
      </c>
      <c r="G1709" s="1" t="str">
        <f t="shared" si="513"/>
        <v>DIS600</v>
      </c>
      <c r="H1709" s="1" t="str">
        <f>"REL04"</f>
        <v>REL04</v>
      </c>
      <c r="I1709" s="1" t="str">
        <f t="shared" si="514"/>
        <v>P0601</v>
      </c>
      <c r="J1709" s="1" t="str">
        <f t="shared" si="515"/>
        <v>N01R</v>
      </c>
      <c r="K1709" s="1" t="str">
        <f t="shared" si="515"/>
        <v>N01R</v>
      </c>
      <c r="L1709" s="1" t="str">
        <f t="shared" si="497"/>
        <v>R</v>
      </c>
      <c r="M1709" s="1" t="str">
        <f>"T031"</f>
        <v>T031</v>
      </c>
      <c r="N1709" s="1" t="str">
        <f t="shared" si="498"/>
        <v>Y</v>
      </c>
      <c r="O1709" s="1" t="str">
        <f t="shared" si="493"/>
        <v>Y</v>
      </c>
      <c r="P1709" s="1" t="str">
        <f t="shared" si="505"/>
        <v>Y</v>
      </c>
      <c r="Q1709" s="1" t="str">
        <f t="shared" si="495"/>
        <v>A</v>
      </c>
    </row>
    <row r="1710" spans="1:17" x14ac:dyDescent="0.3">
      <c r="A1710" s="1" t="str">
        <f t="shared" ref="A1710:A1741" si="516">"R"</f>
        <v>R</v>
      </c>
      <c r="B1710" s="1" t="str">
        <f>"GNSNDM105"</f>
        <v>GNSNDM105</v>
      </c>
      <c r="C1710" s="1" t="str">
        <f>"당뇨병 의심"</f>
        <v>당뇨병 의심</v>
      </c>
      <c r="D1710" s="1" t="str">
        <f>"의심 소견에 대하여 정확한 진단 위하여 추가 검사가 필요합니다. 충분한 수면을 취하고 8시간 금식 이후에 재검사 바랍니다."</f>
        <v>의심 소견에 대하여 정확한 진단 위하여 추가 검사가 필요합니다. 충분한 수면을 취하고 8시간 금식 이후에 재검사 바랍니다.</v>
      </c>
      <c r="E1710" s="1" t="str">
        <f>""</f>
        <v/>
      </c>
      <c r="F1710" s="1" t="str">
        <f>""</f>
        <v/>
      </c>
      <c r="G1710" s="1" t="str">
        <f t="shared" si="513"/>
        <v>DIS600</v>
      </c>
      <c r="H1710" s="1" t="str">
        <f>"REL07"</f>
        <v>REL07</v>
      </c>
      <c r="I1710" s="1" t="str">
        <f t="shared" si="514"/>
        <v>P0601</v>
      </c>
      <c r="J1710" s="1" t="str">
        <f t="shared" si="515"/>
        <v>N01R</v>
      </c>
      <c r="K1710" s="1" t="str">
        <f t="shared" si="515"/>
        <v>N01R</v>
      </c>
      <c r="L1710" s="1" t="str">
        <f t="shared" si="497"/>
        <v>R</v>
      </c>
      <c r="M1710" s="1" t="str">
        <f>"T031"</f>
        <v>T031</v>
      </c>
      <c r="N1710" s="1" t="str">
        <f t="shared" si="498"/>
        <v>Y</v>
      </c>
      <c r="O1710" s="1" t="str">
        <f t="shared" si="493"/>
        <v>Y</v>
      </c>
      <c r="P1710" s="1" t="str">
        <f t="shared" si="505"/>
        <v>Y</v>
      </c>
      <c r="Q1710" s="1" t="str">
        <f t="shared" si="495"/>
        <v>A</v>
      </c>
    </row>
    <row r="1711" spans="1:17" x14ac:dyDescent="0.3">
      <c r="A1711" s="1" t="str">
        <f t="shared" si="516"/>
        <v>R</v>
      </c>
      <c r="B1711" s="1" t="str">
        <f>"GNSNDM106"</f>
        <v>GNSNDM106</v>
      </c>
      <c r="C1711" s="1" t="str">
        <f>"당뇨병 재검사"</f>
        <v>당뇨병 재검사</v>
      </c>
      <c r="D1711" s="1" t="str">
        <f>"정확한 진단 위하여 추가 검사가 필요합니다. 충분한 수면을 취하고 8시간 금식 이후에 재검사 바랍니다."</f>
        <v>정확한 진단 위하여 추가 검사가 필요합니다. 충분한 수면을 취하고 8시간 금식 이후에 재검사 바랍니다.</v>
      </c>
      <c r="E1711" s="1" t="str">
        <f>""</f>
        <v/>
      </c>
      <c r="F1711" s="1" t="str">
        <f>""</f>
        <v/>
      </c>
      <c r="G1711" s="1" t="str">
        <f t="shared" si="513"/>
        <v>DIS600</v>
      </c>
      <c r="H1711" s="1" t="str">
        <f>"REL07"</f>
        <v>REL07</v>
      </c>
      <c r="I1711" s="1" t="str">
        <f t="shared" si="514"/>
        <v>P0601</v>
      </c>
      <c r="J1711" s="1" t="str">
        <f t="shared" si="515"/>
        <v>N01R</v>
      </c>
      <c r="K1711" s="1" t="str">
        <f t="shared" si="515"/>
        <v>N01R</v>
      </c>
      <c r="L1711" s="1" t="str">
        <f t="shared" si="497"/>
        <v>R</v>
      </c>
      <c r="M1711" s="1" t="str">
        <f>"T031"</f>
        <v>T031</v>
      </c>
      <c r="N1711" s="1" t="str">
        <f t="shared" si="498"/>
        <v>Y</v>
      </c>
      <c r="O1711" s="1" t="str">
        <f t="shared" si="493"/>
        <v>Y</v>
      </c>
      <c r="P1711" s="1" t="str">
        <f t="shared" si="505"/>
        <v>Y</v>
      </c>
      <c r="Q1711" s="1" t="str">
        <f t="shared" si="495"/>
        <v>A</v>
      </c>
    </row>
    <row r="1712" spans="1:17" x14ac:dyDescent="0.3">
      <c r="A1712" s="1" t="str">
        <f t="shared" si="516"/>
        <v>R</v>
      </c>
      <c r="B1712" s="1" t="str">
        <f>"GNSNSD105"</f>
        <v>GNSNSD105</v>
      </c>
      <c r="C1712" s="1" t="str">
        <f>"신경계(야간작업) 수면장애 의심"</f>
        <v>신경계(야간작업) 수면장애 의심</v>
      </c>
      <c r="D1712" s="1" t="str">
        <f>"수면장애가 의심됩니다. 2차 검사를 받으시기 바랍니다."</f>
        <v>수면장애가 의심됩니다. 2차 검사를 받으시기 바랍니다.</v>
      </c>
      <c r="E1712" s="1" t="str">
        <f>""</f>
        <v/>
      </c>
      <c r="F1712" s="1" t="str">
        <f>""</f>
        <v/>
      </c>
      <c r="G1712" s="1" t="str">
        <f t="shared" si="513"/>
        <v>DIS600</v>
      </c>
      <c r="H1712" s="1" t="str">
        <f>"REL21"</f>
        <v>REL21</v>
      </c>
      <c r="I1712" s="1" t="str">
        <f t="shared" si="514"/>
        <v>P0601</v>
      </c>
      <c r="J1712" s="1" t="str">
        <f t="shared" si="515"/>
        <v>N01R</v>
      </c>
      <c r="K1712" s="1" t="str">
        <f t="shared" si="515"/>
        <v>N01R</v>
      </c>
      <c r="L1712" s="1" t="str">
        <f t="shared" si="497"/>
        <v>R</v>
      </c>
      <c r="M1712" s="1" t="str">
        <f>"T061"</f>
        <v>T061</v>
      </c>
      <c r="N1712" s="1" t="str">
        <f t="shared" si="498"/>
        <v>Y</v>
      </c>
      <c r="O1712" s="1" t="str">
        <f t="shared" si="493"/>
        <v>Y</v>
      </c>
      <c r="P1712" s="1" t="str">
        <f t="shared" si="505"/>
        <v>Y</v>
      </c>
      <c r="Q1712" s="1" t="str">
        <f t="shared" si="495"/>
        <v>A</v>
      </c>
    </row>
    <row r="1713" spans="1:17" x14ac:dyDescent="0.3">
      <c r="A1713" s="1" t="str">
        <f t="shared" si="516"/>
        <v>R</v>
      </c>
      <c r="B1713" s="1" t="str">
        <f>"HEMAT01"</f>
        <v>HEMAT01</v>
      </c>
      <c r="C1713" s="1" t="str">
        <f>"소변검사이상"</f>
        <v>소변검사이상</v>
      </c>
      <c r="D1713" s="1" t="str">
        <f>"소변검사에서 혈액성분이 검출됩니다. 신장 및 비뇨기계에 대한 2차검사(혈액검사 및 소변검사)를 받으시기 바랍니다."</f>
        <v>소변검사에서 혈액성분이 검출됩니다. 신장 및 비뇨기계에 대한 2차검사(혈액검사 및 소변검사)를 받으시기 바랍니다.</v>
      </c>
      <c r="E1713" s="1" t="str">
        <f>""</f>
        <v/>
      </c>
      <c r="F1713" s="1" t="str">
        <f>""</f>
        <v/>
      </c>
      <c r="G1713" s="1" t="str">
        <f>"DISN"</f>
        <v>DISN</v>
      </c>
      <c r="H1713" s="1" t="str">
        <f>"REL08"</f>
        <v>REL08</v>
      </c>
      <c r="I1713" s="1" t="str">
        <f>""</f>
        <v/>
      </c>
      <c r="J1713" s="1" t="str">
        <f>"C44R"</f>
        <v>C44R</v>
      </c>
      <c r="K1713" s="1" t="str">
        <f>"N01R"</f>
        <v>N01R</v>
      </c>
      <c r="L1713" s="1" t="str">
        <f t="shared" si="497"/>
        <v>R</v>
      </c>
      <c r="M1713" s="1" t="str">
        <f>"T05"</f>
        <v>T05</v>
      </c>
      <c r="N1713" s="1" t="str">
        <f t="shared" si="498"/>
        <v>Y</v>
      </c>
      <c r="O1713" s="1" t="str">
        <f t="shared" si="493"/>
        <v>Y</v>
      </c>
      <c r="P1713" s="1" t="str">
        <f t="shared" si="505"/>
        <v>Y</v>
      </c>
      <c r="Q1713" s="1" t="str">
        <f t="shared" si="495"/>
        <v>A</v>
      </c>
    </row>
    <row r="1714" spans="1:17" x14ac:dyDescent="0.3">
      <c r="A1714" s="1" t="str">
        <f t="shared" si="516"/>
        <v>R</v>
      </c>
      <c r="B1714" s="1" t="str">
        <f>"HEP501"</f>
        <v>HEP501</v>
      </c>
      <c r="C1714" s="1" t="str">
        <f>"간담도계 질환 재검사"</f>
        <v>간담도계 질환 재검사</v>
      </c>
      <c r="D1714" s="1" t="s">
        <v>492</v>
      </c>
      <c r="E1714" s="1" t="str">
        <f>""</f>
        <v/>
      </c>
      <c r="F1714" s="1" t="str">
        <f>""</f>
        <v/>
      </c>
      <c r="G1714" s="1" t="str">
        <f>"DISK"</f>
        <v>DISK</v>
      </c>
      <c r="H1714" s="1" t="str">
        <f>"REL05"</f>
        <v>REL05</v>
      </c>
      <c r="I1714" s="1" t="str">
        <f>""</f>
        <v/>
      </c>
      <c r="J1714" s="1" t="str">
        <f>"C05R"</f>
        <v>C05R</v>
      </c>
      <c r="K1714" s="1" t="str">
        <f>"C05R"</f>
        <v>C05R</v>
      </c>
      <c r="L1714" s="1" t="str">
        <f t="shared" si="497"/>
        <v>R</v>
      </c>
      <c r="M1714" s="1" t="str">
        <f>"T02"</f>
        <v>T02</v>
      </c>
      <c r="N1714" s="1" t="str">
        <f t="shared" si="498"/>
        <v>Y</v>
      </c>
      <c r="O1714" s="1" t="str">
        <f t="shared" si="493"/>
        <v>Y</v>
      </c>
      <c r="P1714" s="1" t="str">
        <f t="shared" si="505"/>
        <v>Y</v>
      </c>
      <c r="Q1714" s="1" t="str">
        <f t="shared" si="495"/>
        <v>A</v>
      </c>
    </row>
    <row r="1715" spans="1:17" x14ac:dyDescent="0.3">
      <c r="A1715" s="1" t="str">
        <f t="shared" si="516"/>
        <v>R</v>
      </c>
      <c r="B1715" s="1" t="str">
        <f>"HEP502"</f>
        <v>HEP502</v>
      </c>
      <c r="C1715" s="1" t="str">
        <f>"간담도계 질환 재검사(ALT 상승)"</f>
        <v>간담도계 질환 재검사(ALT 상승)</v>
      </c>
      <c r="D1715" s="1" t="s">
        <v>492</v>
      </c>
      <c r="E1715" s="1" t="str">
        <f>""</f>
        <v/>
      </c>
      <c r="F1715" s="1" t="str">
        <f>""</f>
        <v/>
      </c>
      <c r="G1715" s="1" t="str">
        <f>"DISK"</f>
        <v>DISK</v>
      </c>
      <c r="H1715" s="1" t="str">
        <f>"REL05"</f>
        <v>REL05</v>
      </c>
      <c r="I1715" s="1" t="str">
        <f>""</f>
        <v/>
      </c>
      <c r="J1715" s="1" t="str">
        <f>"C05R"</f>
        <v>C05R</v>
      </c>
      <c r="K1715" s="1" t="str">
        <f>"C05R"</f>
        <v>C05R</v>
      </c>
      <c r="L1715" s="1" t="str">
        <f t="shared" si="497"/>
        <v>R</v>
      </c>
      <c r="M1715" s="1" t="str">
        <f>"T02"</f>
        <v>T02</v>
      </c>
      <c r="N1715" s="1" t="str">
        <f t="shared" si="498"/>
        <v>Y</v>
      </c>
      <c r="O1715" s="1" t="str">
        <f t="shared" si="493"/>
        <v>Y</v>
      </c>
      <c r="P1715" s="1" t="str">
        <f t="shared" si="505"/>
        <v>Y</v>
      </c>
      <c r="Q1715" s="1" t="str">
        <f t="shared" si="495"/>
        <v>A</v>
      </c>
    </row>
    <row r="1716" spans="1:17" x14ac:dyDescent="0.3">
      <c r="A1716" s="1" t="str">
        <f t="shared" si="516"/>
        <v>R</v>
      </c>
      <c r="B1716" s="1" t="str">
        <f>"HPT5011"</f>
        <v>HPT5011</v>
      </c>
      <c r="C1716" s="1" t="str">
        <f>"고혈압 의심"</f>
        <v>고혈압 의심</v>
      </c>
      <c r="D1716" s="1" t="str">
        <f>"혈압이 높습니다. 2차검진(고혈압 재검)이 필요합니다."</f>
        <v>혈압이 높습니다. 2차검진(고혈압 재검)이 필요합니다.</v>
      </c>
      <c r="E1716" s="1" t="str">
        <f>""</f>
        <v/>
      </c>
      <c r="F1716" s="1" t="str">
        <f>""</f>
        <v/>
      </c>
      <c r="G1716" s="1" t="str">
        <f>"DIS600"</f>
        <v>DIS600</v>
      </c>
      <c r="H1716" s="1" t="str">
        <f>"REL03"</f>
        <v>REL03</v>
      </c>
      <c r="I1716" s="1" t="str">
        <f>""</f>
        <v/>
      </c>
      <c r="J1716" s="1" t="str">
        <f>"N01R"</f>
        <v>N01R</v>
      </c>
      <c r="K1716" s="1" t="str">
        <f>"N01R"</f>
        <v>N01R</v>
      </c>
      <c r="L1716" s="1" t="str">
        <f t="shared" si="497"/>
        <v>R</v>
      </c>
      <c r="M1716" s="1" t="str">
        <f>"T031"</f>
        <v>T031</v>
      </c>
      <c r="N1716" s="1" t="str">
        <f t="shared" si="498"/>
        <v>Y</v>
      </c>
      <c r="O1716" s="1" t="str">
        <f t="shared" si="493"/>
        <v>Y</v>
      </c>
      <c r="P1716" s="1" t="str">
        <f t="shared" si="505"/>
        <v>Y</v>
      </c>
      <c r="Q1716" s="1" t="str">
        <f t="shared" si="495"/>
        <v>A</v>
      </c>
    </row>
    <row r="1717" spans="1:17" x14ac:dyDescent="0.3">
      <c r="A1717" s="1" t="str">
        <f t="shared" si="516"/>
        <v>R</v>
      </c>
      <c r="B1717" s="1" t="str">
        <f>"HTULT2"</f>
        <v>HTULT2</v>
      </c>
      <c r="C1717" s="1" t="str">
        <f>"혈뇨 의심"</f>
        <v>혈뇨 의심</v>
      </c>
      <c r="D1717" s="1" t="str">
        <f>"운동을 심하게 한 경우에 일시적으로 발생가능하나 혈뇨에 대한 정밀검사 필요합니다."</f>
        <v>운동을 심하게 한 경우에 일시적으로 발생가능하나 혈뇨에 대한 정밀검사 필요합니다.</v>
      </c>
      <c r="E1717" s="1" t="str">
        <f>""</f>
        <v/>
      </c>
      <c r="F1717" s="1" t="str">
        <f>""</f>
        <v/>
      </c>
      <c r="G1717" s="1" t="str">
        <f>"DISN"</f>
        <v>DISN</v>
      </c>
      <c r="H1717" s="1" t="str">
        <f>"REL09"</f>
        <v>REL09</v>
      </c>
      <c r="I1717" s="1" t="str">
        <f>""</f>
        <v/>
      </c>
      <c r="J1717" s="1" t="str">
        <f>"C44R"</f>
        <v>C44R</v>
      </c>
      <c r="K1717" s="1" t="str">
        <f>"C44R"</f>
        <v>C44R</v>
      </c>
      <c r="L1717" s="1" t="str">
        <f t="shared" si="497"/>
        <v>R</v>
      </c>
      <c r="M1717" s="1" t="str">
        <f>"T05"</f>
        <v>T05</v>
      </c>
      <c r="N1717" s="1" t="str">
        <f t="shared" si="498"/>
        <v>Y</v>
      </c>
      <c r="O1717" s="1" t="str">
        <f t="shared" si="493"/>
        <v>Y</v>
      </c>
      <c r="P1717" s="1" t="str">
        <f t="shared" si="505"/>
        <v>Y</v>
      </c>
      <c r="Q1717" s="1" t="str">
        <f t="shared" si="495"/>
        <v>A</v>
      </c>
    </row>
    <row r="1718" spans="1:17" x14ac:dyDescent="0.3">
      <c r="A1718" s="1" t="str">
        <f t="shared" si="516"/>
        <v>R</v>
      </c>
      <c r="B1718" s="1" t="str">
        <f>"HW0319"</f>
        <v>HW0319</v>
      </c>
      <c r="C1718" s="1" t="str">
        <f>"메트헤모글로빈 수치 재검사"</f>
        <v>메트헤모글로빈 수치 재검사</v>
      </c>
      <c r="D1718" s="1" t="str">
        <f>"생물학적 노출 지표인 메트헤모글로빈 수치가 상승되어 있습니다. 재검사 필요합니다."</f>
        <v>생물학적 노출 지표인 메트헤모글로빈 수치가 상승되어 있습니다. 재검사 필요합니다.</v>
      </c>
      <c r="E1718" s="1" t="str">
        <f>""</f>
        <v/>
      </c>
      <c r="F1718" s="1" t="str">
        <f>""</f>
        <v/>
      </c>
      <c r="G1718" s="1" t="str">
        <f>""</f>
        <v/>
      </c>
      <c r="H1718" s="1" t="str">
        <f>"REL12"</f>
        <v>REL12</v>
      </c>
      <c r="I1718" s="1" t="str">
        <f>""</f>
        <v/>
      </c>
      <c r="J1718" s="1" t="str">
        <f>"C34R"</f>
        <v>C34R</v>
      </c>
      <c r="K1718" s="1" t="str">
        <f>"C34R"</f>
        <v>C34R</v>
      </c>
      <c r="L1718" s="1" t="str">
        <f t="shared" si="497"/>
        <v>R</v>
      </c>
      <c r="M1718" s="1" t="str">
        <f>"T12"</f>
        <v>T12</v>
      </c>
      <c r="N1718" s="1" t="str">
        <f t="shared" si="498"/>
        <v>Y</v>
      </c>
      <c r="O1718" s="1" t="str">
        <f t="shared" si="493"/>
        <v>Y</v>
      </c>
      <c r="P1718" s="1" t="str">
        <f t="shared" si="505"/>
        <v>Y</v>
      </c>
      <c r="Q1718" s="1" t="str">
        <f t="shared" si="495"/>
        <v>A</v>
      </c>
    </row>
    <row r="1719" spans="1:17" x14ac:dyDescent="0.3">
      <c r="A1719" s="1" t="str">
        <f t="shared" si="516"/>
        <v>R</v>
      </c>
      <c r="B1719" s="1" t="str">
        <f>"HWDICHLO01"</f>
        <v>HWDICHLO01</v>
      </c>
      <c r="C1719" s="1" t="s">
        <v>493</v>
      </c>
      <c r="D1719" s="1" t="s">
        <v>494</v>
      </c>
      <c r="E1719" s="1" t="str">
        <f>""</f>
        <v/>
      </c>
      <c r="F1719" s="1" t="str">
        <f>""</f>
        <v/>
      </c>
      <c r="G1719" s="1" t="str">
        <f>"DIS299"</f>
        <v>DIS299</v>
      </c>
      <c r="H1719" s="1" t="str">
        <f>"REL17"</f>
        <v>REL17</v>
      </c>
      <c r="I1719" s="1" t="str">
        <f>""</f>
        <v/>
      </c>
      <c r="J1719" s="1" t="str">
        <f>"S01R"</f>
        <v>S01R</v>
      </c>
      <c r="K1719" s="1" t="str">
        <f>"S01R"</f>
        <v>S01R</v>
      </c>
      <c r="L1719" s="1" t="str">
        <f t="shared" si="497"/>
        <v>R</v>
      </c>
      <c r="M1719" s="1" t="str">
        <f>"T12"</f>
        <v>T12</v>
      </c>
      <c r="N1719" s="1" t="str">
        <f t="shared" si="498"/>
        <v>Y</v>
      </c>
      <c r="O1719" s="1" t="str">
        <f t="shared" si="493"/>
        <v>Y</v>
      </c>
      <c r="P1719" s="1" t="str">
        <f t="shared" si="505"/>
        <v>Y</v>
      </c>
      <c r="Q1719" s="1" t="str">
        <f t="shared" si="495"/>
        <v>A</v>
      </c>
    </row>
    <row r="1720" spans="1:17" x14ac:dyDescent="0.3">
      <c r="A1720" s="1" t="str">
        <f t="shared" si="516"/>
        <v>R</v>
      </c>
      <c r="B1720" s="1" t="str">
        <f>"HWINDIUM01"</f>
        <v>HWINDIUM01</v>
      </c>
      <c r="C1720" s="1" t="str">
        <f>"인듐 과폭로 의심(혈중 인듐)"</f>
        <v>인듐 과폭로 의심(혈중 인듐)</v>
      </c>
      <c r="D1720" s="1" t="str">
        <f>"인듐에 대한 생물학적 노출지표(혈중 인듐) 검사 결과 노출 기준을 초과하여 과폭로가 의심됩니다. 업무시 보호구 착용을 철저히 하시기 바라며 재검사를 하시기 바랍니다."</f>
        <v>인듐에 대한 생물학적 노출지표(혈중 인듐) 검사 결과 노출 기준을 초과하여 과폭로가 의심됩니다. 업무시 보호구 착용을 철저히 하시기 바라며 재검사를 하시기 바랍니다.</v>
      </c>
      <c r="E1720" s="1" t="str">
        <f>""</f>
        <v/>
      </c>
      <c r="F1720" s="1" t="str">
        <f>""</f>
        <v/>
      </c>
      <c r="G1720" s="1" t="str">
        <f>"DIS399"</f>
        <v>DIS399</v>
      </c>
      <c r="H1720" s="1" t="str">
        <f>"REL17"</f>
        <v>REL17</v>
      </c>
      <c r="I1720" s="1" t="str">
        <f>""</f>
        <v/>
      </c>
      <c r="J1720" s="1" t="str">
        <f>"S01R"</f>
        <v>S01R</v>
      </c>
      <c r="K1720" s="1" t="str">
        <f>"S01R"</f>
        <v>S01R</v>
      </c>
      <c r="L1720" s="1" t="str">
        <f t="shared" si="497"/>
        <v>R</v>
      </c>
      <c r="M1720" s="1" t="str">
        <f>"T12"</f>
        <v>T12</v>
      </c>
      <c r="N1720" s="1" t="str">
        <f t="shared" si="498"/>
        <v>Y</v>
      </c>
      <c r="O1720" s="1" t="str">
        <f t="shared" si="493"/>
        <v>Y</v>
      </c>
      <c r="P1720" s="1" t="str">
        <f t="shared" si="505"/>
        <v>Y</v>
      </c>
      <c r="Q1720" s="1" t="str">
        <f t="shared" si="495"/>
        <v>A</v>
      </c>
    </row>
    <row r="1721" spans="1:17" x14ac:dyDescent="0.3">
      <c r="A1721" s="1" t="str">
        <f t="shared" si="516"/>
        <v>R</v>
      </c>
      <c r="B1721" s="1" t="str">
        <f>"J00010"</f>
        <v>J00010</v>
      </c>
      <c r="C1721" s="1" t="str">
        <f>"혈압상승 - 비뇨기계(신장) 질환의심"</f>
        <v>혈압상승 - 비뇨기계(신장) 질환의심</v>
      </c>
      <c r="D1721" s="1" t="str">
        <f>"혈압이 높습니다. 신장(콩팥) 이상을 확인하기 위해 2차 검사가 필요합니다. (특수검진)"</f>
        <v>혈압이 높습니다. 신장(콩팥) 이상을 확인하기 위해 2차 검사가 필요합니다. (특수검진)</v>
      </c>
      <c r="E1721" s="1" t="str">
        <f>""</f>
        <v/>
      </c>
      <c r="F1721" s="1" t="str">
        <f>""</f>
        <v/>
      </c>
      <c r="G1721" s="1" t="str">
        <f>"DISN"</f>
        <v>DISN</v>
      </c>
      <c r="H1721" s="1" t="str">
        <f>"REL08"</f>
        <v>REL08</v>
      </c>
      <c r="I1721" s="1" t="str">
        <f>""</f>
        <v/>
      </c>
      <c r="J1721" s="1" t="str">
        <f>"C44R"</f>
        <v>C44R</v>
      </c>
      <c r="K1721" s="1" t="str">
        <f>"C44R"</f>
        <v>C44R</v>
      </c>
      <c r="L1721" s="1" t="str">
        <f t="shared" si="497"/>
        <v>R</v>
      </c>
      <c r="M1721" s="1" t="str">
        <f>"T05"</f>
        <v>T05</v>
      </c>
      <c r="N1721" s="1" t="str">
        <f t="shared" si="498"/>
        <v>Y</v>
      </c>
      <c r="O1721" s="1" t="str">
        <f t="shared" si="493"/>
        <v>Y</v>
      </c>
      <c r="P1721" s="1" t="str">
        <f t="shared" si="505"/>
        <v>Y</v>
      </c>
      <c r="Q1721" s="1" t="str">
        <f t="shared" si="495"/>
        <v>A</v>
      </c>
    </row>
    <row r="1722" spans="1:17" x14ac:dyDescent="0.3">
      <c r="A1722" s="1" t="str">
        <f t="shared" si="516"/>
        <v>R</v>
      </c>
      <c r="B1722" s="1" t="str">
        <f>"J0017"</f>
        <v>J0017</v>
      </c>
      <c r="C1722" s="1" t="str">
        <f>"DMF 과폭로 의심"</f>
        <v>DMF 과폭로 의심</v>
      </c>
      <c r="D1722" s="1" t="str">
        <f>"디메틸포름아미드(DMF)에 과폭로된 상태이므로. 보호구착용 철저히 하시고 2차 정밀검사 받으세요."</f>
        <v>디메틸포름아미드(DMF)에 과폭로된 상태이므로. 보호구착용 철저히 하시고 2차 정밀검사 받으세요.</v>
      </c>
      <c r="E1722" s="1" t="str">
        <f>""</f>
        <v/>
      </c>
      <c r="F1722" s="1" t="str">
        <f>""</f>
        <v/>
      </c>
      <c r="G1722" s="1" t="str">
        <f>"DIS202"</f>
        <v>DIS202</v>
      </c>
      <c r="H1722" s="1" t="str">
        <f>"REL17"</f>
        <v>REL17</v>
      </c>
      <c r="I1722" s="1" t="str">
        <f>"N0015"</f>
        <v>N0015</v>
      </c>
      <c r="J1722" s="1" t="str">
        <f>"S01R"</f>
        <v>S01R</v>
      </c>
      <c r="K1722" s="1" t="str">
        <f>"S01R"</f>
        <v>S01R</v>
      </c>
      <c r="L1722" s="1" t="str">
        <f t="shared" si="497"/>
        <v>R</v>
      </c>
      <c r="M1722" s="1" t="str">
        <f>"T12"</f>
        <v>T12</v>
      </c>
      <c r="N1722" s="1" t="str">
        <f t="shared" si="498"/>
        <v>Y</v>
      </c>
      <c r="O1722" s="1" t="str">
        <f t="shared" ref="O1722:O1748" si="517">"Y"</f>
        <v>Y</v>
      </c>
      <c r="P1722" s="1" t="str">
        <f t="shared" si="505"/>
        <v>Y</v>
      </c>
      <c r="Q1722" s="1" t="str">
        <f t="shared" si="495"/>
        <v>A</v>
      </c>
    </row>
    <row r="1723" spans="1:17" x14ac:dyDescent="0.3">
      <c r="A1723" s="1" t="str">
        <f t="shared" si="516"/>
        <v>R</v>
      </c>
      <c r="B1723" s="1" t="str">
        <f>"J0018"</f>
        <v>J0018</v>
      </c>
      <c r="C1723" s="1" t="s">
        <v>495</v>
      </c>
      <c r="D1723" s="1" t="s">
        <v>496</v>
      </c>
      <c r="E1723" s="1" t="str">
        <f>""</f>
        <v/>
      </c>
      <c r="F1723" s="1" t="str">
        <f>""</f>
        <v/>
      </c>
      <c r="G1723" s="1" t="str">
        <f>"DIS299"</f>
        <v>DIS299</v>
      </c>
      <c r="H1723" s="1" t="str">
        <f>"REL17"</f>
        <v>REL17</v>
      </c>
      <c r="I1723" s="1" t="str">
        <f>""</f>
        <v/>
      </c>
      <c r="J1723" s="1" t="str">
        <f>"S01R"</f>
        <v>S01R</v>
      </c>
      <c r="K1723" s="1" t="str">
        <f>"S01R"</f>
        <v>S01R</v>
      </c>
      <c r="L1723" s="1" t="str">
        <f t="shared" si="497"/>
        <v>R</v>
      </c>
      <c r="M1723" s="1" t="str">
        <f>"T12"</f>
        <v>T12</v>
      </c>
      <c r="N1723" s="1" t="str">
        <f t="shared" si="498"/>
        <v>Y</v>
      </c>
      <c r="O1723" s="1" t="str">
        <f t="shared" si="517"/>
        <v>Y</v>
      </c>
      <c r="P1723" s="1" t="str">
        <f t="shared" si="505"/>
        <v>Y</v>
      </c>
      <c r="Q1723" s="1" t="str">
        <f t="shared" si="495"/>
        <v>A</v>
      </c>
    </row>
    <row r="1724" spans="1:17" x14ac:dyDescent="0.3">
      <c r="A1724" s="1" t="str">
        <f t="shared" si="516"/>
        <v>R</v>
      </c>
      <c r="B1724" s="1" t="str">
        <f>"J0020"</f>
        <v>J0020</v>
      </c>
      <c r="C1724" s="1" t="str">
        <f>"간암표지자 수치 상승"</f>
        <v>간암표지자 수치 상승</v>
      </c>
      <c r="D1724" s="1" t="s">
        <v>497</v>
      </c>
      <c r="E1724" s="1" t="str">
        <f>""</f>
        <v/>
      </c>
      <c r="F1724" s="1" t="str">
        <f>""</f>
        <v/>
      </c>
      <c r="G1724" s="1" t="str">
        <f>"DISK"</f>
        <v>DISK</v>
      </c>
      <c r="H1724" s="1" t="str">
        <f>"REL05"</f>
        <v>REL05</v>
      </c>
      <c r="I1724" s="1" t="str">
        <f>""</f>
        <v/>
      </c>
      <c r="J1724" s="1" t="str">
        <f>"C05R"</f>
        <v>C05R</v>
      </c>
      <c r="K1724" s="1" t="str">
        <f>"C05R"</f>
        <v>C05R</v>
      </c>
      <c r="L1724" s="1" t="str">
        <f t="shared" si="497"/>
        <v>R</v>
      </c>
      <c r="M1724" s="1" t="str">
        <f>"T02"</f>
        <v>T02</v>
      </c>
      <c r="N1724" s="1" t="str">
        <f t="shared" si="498"/>
        <v>Y</v>
      </c>
      <c r="O1724" s="1" t="str">
        <f t="shared" si="517"/>
        <v>Y</v>
      </c>
      <c r="P1724" s="1" t="str">
        <f t="shared" si="505"/>
        <v>Y</v>
      </c>
      <c r="Q1724" s="1" t="str">
        <f t="shared" ref="Q1724:Q1787" si="518">"A"</f>
        <v>A</v>
      </c>
    </row>
    <row r="1725" spans="1:17" x14ac:dyDescent="0.3">
      <c r="A1725" s="1" t="str">
        <f t="shared" si="516"/>
        <v>R</v>
      </c>
      <c r="B1725" s="1" t="str">
        <f>"J0022"</f>
        <v>J0022</v>
      </c>
      <c r="C1725" s="1" t="str">
        <f>"B형간염 의양성(경계수치)"</f>
        <v>B형간염 의양성(경계수치)</v>
      </c>
      <c r="D1725" s="1" t="str">
        <f>"B형간염에 대한 재검사를 권고합니다"</f>
        <v>B형간염에 대한 재검사를 권고합니다</v>
      </c>
      <c r="E1725" s="1" t="str">
        <f>""</f>
        <v/>
      </c>
      <c r="F1725" s="1" t="str">
        <f>""</f>
        <v/>
      </c>
      <c r="G1725" s="1" t="str">
        <f>"DISB"</f>
        <v>DISB</v>
      </c>
      <c r="H1725" s="1" t="str">
        <f>"REL05"</f>
        <v>REL05</v>
      </c>
      <c r="I1725" s="1" t="str">
        <f>""</f>
        <v/>
      </c>
      <c r="J1725" s="1" t="str">
        <f>"C05R"</f>
        <v>C05R</v>
      </c>
      <c r="K1725" s="1" t="str">
        <f>"C05R"</f>
        <v>C05R</v>
      </c>
      <c r="L1725" s="1" t="str">
        <f t="shared" si="497"/>
        <v>R</v>
      </c>
      <c r="M1725" s="1" t="str">
        <f>"T02"</f>
        <v>T02</v>
      </c>
      <c r="N1725" s="1" t="str">
        <f t="shared" si="498"/>
        <v>Y</v>
      </c>
      <c r="O1725" s="1" t="str">
        <f t="shared" si="517"/>
        <v>Y</v>
      </c>
      <c r="P1725" s="1" t="str">
        <f t="shared" si="505"/>
        <v>Y</v>
      </c>
      <c r="Q1725" s="1" t="str">
        <f t="shared" si="518"/>
        <v>A</v>
      </c>
    </row>
    <row r="1726" spans="1:17" x14ac:dyDescent="0.3">
      <c r="A1726" s="1" t="str">
        <f t="shared" si="516"/>
        <v>R</v>
      </c>
      <c r="B1726" s="1" t="str">
        <f>"J0034"</f>
        <v>J0034</v>
      </c>
      <c r="C1726" s="1" t="str">
        <f>"호산구 감소"</f>
        <v>호산구 감소</v>
      </c>
      <c r="D1726" s="1" t="str">
        <f>"혈액검사상 호산구 감소 관찰됩니다. 추적검사 및 의사상담 받으세요."</f>
        <v>혈액검사상 호산구 감소 관찰됩니다. 추적검사 및 의사상담 받으세요.</v>
      </c>
      <c r="E1726" s="1" t="str">
        <f>""</f>
        <v/>
      </c>
      <c r="F1726" s="1" t="str">
        <f>""</f>
        <v/>
      </c>
      <c r="G1726" s="1" t="str">
        <f>"DISD"</f>
        <v>DISD</v>
      </c>
      <c r="H1726" s="1" t="str">
        <f>"REL12"</f>
        <v>REL12</v>
      </c>
      <c r="I1726" s="1" t="str">
        <f>""</f>
        <v/>
      </c>
      <c r="J1726" s="1" t="str">
        <f t="shared" ref="J1726:K1728" si="519">"C34R"</f>
        <v>C34R</v>
      </c>
      <c r="K1726" s="1" t="str">
        <f t="shared" si="519"/>
        <v>C34R</v>
      </c>
      <c r="L1726" s="1" t="str">
        <f t="shared" si="497"/>
        <v>R</v>
      </c>
      <c r="M1726" s="1" t="str">
        <f>"T01"</f>
        <v>T01</v>
      </c>
      <c r="N1726" s="1" t="str">
        <f t="shared" si="498"/>
        <v>Y</v>
      </c>
      <c r="O1726" s="1" t="str">
        <f t="shared" si="517"/>
        <v>Y</v>
      </c>
      <c r="P1726" s="1" t="str">
        <f t="shared" si="505"/>
        <v>Y</v>
      </c>
      <c r="Q1726" s="1" t="str">
        <f t="shared" si="518"/>
        <v>A</v>
      </c>
    </row>
    <row r="1727" spans="1:17" x14ac:dyDescent="0.3">
      <c r="A1727" s="1" t="str">
        <f t="shared" si="516"/>
        <v>R</v>
      </c>
      <c r="B1727" s="1" t="str">
        <f>"J0035"</f>
        <v>J0035</v>
      </c>
      <c r="C1727" s="1" t="str">
        <f>"호산구증가 재검"</f>
        <v>호산구증가 재검</v>
      </c>
      <c r="D1727" s="1" t="str">
        <f>"혈액검사상 호산구 증가 관찰됩니다. 재검을 받으세요"</f>
        <v>혈액검사상 호산구 증가 관찰됩니다. 재검을 받으세요</v>
      </c>
      <c r="E1727" s="1" t="str">
        <f>""</f>
        <v/>
      </c>
      <c r="F1727" s="1" t="str">
        <f>""</f>
        <v/>
      </c>
      <c r="G1727" s="1" t="str">
        <f>"DISD"</f>
        <v>DISD</v>
      </c>
      <c r="H1727" s="1" t="str">
        <f>"REL12"</f>
        <v>REL12</v>
      </c>
      <c r="I1727" s="1" t="str">
        <f>""</f>
        <v/>
      </c>
      <c r="J1727" s="1" t="str">
        <f t="shared" si="519"/>
        <v>C34R</v>
      </c>
      <c r="K1727" s="1" t="str">
        <f t="shared" si="519"/>
        <v>C34R</v>
      </c>
      <c r="L1727" s="1" t="str">
        <f t="shared" si="497"/>
        <v>R</v>
      </c>
      <c r="M1727" s="1" t="str">
        <f>"T01"</f>
        <v>T01</v>
      </c>
      <c r="N1727" s="1" t="str">
        <f t="shared" si="498"/>
        <v>Y</v>
      </c>
      <c r="O1727" s="1" t="str">
        <f t="shared" si="517"/>
        <v>Y</v>
      </c>
      <c r="P1727" s="1" t="str">
        <f t="shared" si="505"/>
        <v>Y</v>
      </c>
      <c r="Q1727" s="1" t="str">
        <f t="shared" si="518"/>
        <v>A</v>
      </c>
    </row>
    <row r="1728" spans="1:17" x14ac:dyDescent="0.3">
      <c r="A1728" s="1" t="str">
        <f t="shared" si="516"/>
        <v>R</v>
      </c>
      <c r="B1728" s="1" t="str">
        <f>"J0036"</f>
        <v>J0036</v>
      </c>
      <c r="C1728" s="1" t="str">
        <f>"호염기구 감소"</f>
        <v>호염기구 감소</v>
      </c>
      <c r="D1728" s="1" t="str">
        <f>"혈액검사상 호염기구 감소 관찰됩니다. 추적검사 및 의사상담 받으세요."</f>
        <v>혈액검사상 호염기구 감소 관찰됩니다. 추적검사 및 의사상담 받으세요.</v>
      </c>
      <c r="E1728" s="1" t="str">
        <f>""</f>
        <v/>
      </c>
      <c r="F1728" s="1" t="str">
        <f>""</f>
        <v/>
      </c>
      <c r="G1728" s="1" t="str">
        <f>"DISD"</f>
        <v>DISD</v>
      </c>
      <c r="H1728" s="1" t="str">
        <f>"REL12"</f>
        <v>REL12</v>
      </c>
      <c r="I1728" s="1" t="str">
        <f>""</f>
        <v/>
      </c>
      <c r="J1728" s="1" t="str">
        <f t="shared" si="519"/>
        <v>C34R</v>
      </c>
      <c r="K1728" s="1" t="str">
        <f t="shared" si="519"/>
        <v>C34R</v>
      </c>
      <c r="L1728" s="1" t="str">
        <f t="shared" si="497"/>
        <v>R</v>
      </c>
      <c r="M1728" s="1" t="str">
        <f>"T01"</f>
        <v>T01</v>
      </c>
      <c r="N1728" s="1" t="str">
        <f t="shared" si="498"/>
        <v>Y</v>
      </c>
      <c r="O1728" s="1" t="str">
        <f t="shared" si="517"/>
        <v>Y</v>
      </c>
      <c r="P1728" s="1" t="str">
        <f t="shared" si="505"/>
        <v>Y</v>
      </c>
      <c r="Q1728" s="1" t="str">
        <f t="shared" si="518"/>
        <v>A</v>
      </c>
    </row>
    <row r="1729" spans="1:17" x14ac:dyDescent="0.3">
      <c r="A1729" s="1" t="str">
        <f t="shared" si="516"/>
        <v>R</v>
      </c>
      <c r="B1729" s="1" t="str">
        <f>"J0066"</f>
        <v>J0066</v>
      </c>
      <c r="C1729" s="1" t="str">
        <f>"유기용제중독의심"</f>
        <v>유기용제중독의심</v>
      </c>
      <c r="D1729" s="1" t="str">
        <f>"유기용제에 대한 2차검사받으세요"</f>
        <v>유기용제에 대한 2차검사받으세요</v>
      </c>
      <c r="E1729" s="1" t="str">
        <f>""</f>
        <v/>
      </c>
      <c r="F1729" s="1" t="str">
        <f>""</f>
        <v/>
      </c>
      <c r="G1729" s="1" t="str">
        <f>"DIS299"</f>
        <v>DIS299</v>
      </c>
      <c r="H1729" s="1" t="str">
        <f>"REL17"</f>
        <v>REL17</v>
      </c>
      <c r="I1729" s="1" t="str">
        <f>""</f>
        <v/>
      </c>
      <c r="J1729" s="1" t="str">
        <f>"S01R"</f>
        <v>S01R</v>
      </c>
      <c r="K1729" s="1" t="str">
        <f>"S01R"</f>
        <v>S01R</v>
      </c>
      <c r="L1729" s="1" t="str">
        <f t="shared" si="497"/>
        <v>R</v>
      </c>
      <c r="M1729" s="1" t="str">
        <f>"T02"</f>
        <v>T02</v>
      </c>
      <c r="N1729" s="1" t="str">
        <f t="shared" si="498"/>
        <v>Y</v>
      </c>
      <c r="O1729" s="1" t="str">
        <f t="shared" si="517"/>
        <v>Y</v>
      </c>
      <c r="P1729" s="1" t="str">
        <f t="shared" si="505"/>
        <v>Y</v>
      </c>
      <c r="Q1729" s="1" t="str">
        <f t="shared" si="518"/>
        <v>A</v>
      </c>
    </row>
    <row r="1730" spans="1:17" x14ac:dyDescent="0.3">
      <c r="A1730" s="1" t="str">
        <f t="shared" si="516"/>
        <v>R</v>
      </c>
      <c r="B1730" s="1" t="str">
        <f>"J0072"</f>
        <v>J0072</v>
      </c>
      <c r="C1730" s="1" t="str">
        <f>"폐기능 검사 이상"</f>
        <v>폐기능 검사 이상</v>
      </c>
      <c r="D1730" s="1" t="str">
        <f>"폐기능 검사를 제대로 수행하지 못하여 다른 방법으로 검사가 필요합니다. 2차검사를 받으시기 바랍니다."</f>
        <v>폐기능 검사를 제대로 수행하지 못하여 다른 방법으로 검사가 필요합니다. 2차검사를 받으시기 바랍니다.</v>
      </c>
      <c r="E1730" s="1" t="str">
        <f>""</f>
        <v/>
      </c>
      <c r="F1730" s="1" t="str">
        <f>""</f>
        <v/>
      </c>
      <c r="G1730" s="1" t="str">
        <f>"DISJ"</f>
        <v>DISJ</v>
      </c>
      <c r="H1730" s="1" t="str">
        <f>"REL02"</f>
        <v>REL02</v>
      </c>
      <c r="I1730" s="1" t="str">
        <f>""</f>
        <v/>
      </c>
      <c r="J1730" s="1" t="str">
        <f>"C40R"</f>
        <v>C40R</v>
      </c>
      <c r="K1730" s="1" t="str">
        <f>"C40R"</f>
        <v>C40R</v>
      </c>
      <c r="L1730" s="1" t="str">
        <f t="shared" si="497"/>
        <v>R</v>
      </c>
      <c r="M1730" s="1" t="str">
        <f>"T04"</f>
        <v>T04</v>
      </c>
      <c r="N1730" s="1" t="str">
        <f t="shared" si="498"/>
        <v>Y</v>
      </c>
      <c r="O1730" s="1" t="str">
        <f t="shared" si="517"/>
        <v>Y</v>
      </c>
      <c r="P1730" s="1" t="str">
        <f t="shared" si="505"/>
        <v>Y</v>
      </c>
      <c r="Q1730" s="1" t="str">
        <f t="shared" si="518"/>
        <v>A</v>
      </c>
    </row>
    <row r="1731" spans="1:17" x14ac:dyDescent="0.3">
      <c r="A1731" s="1" t="str">
        <f t="shared" si="516"/>
        <v>R</v>
      </c>
      <c r="B1731" s="1" t="str">
        <f>"J00721"</f>
        <v>J00721</v>
      </c>
      <c r="C1731" s="1" t="str">
        <f>"폐기능 검사 이상 (추가검사필요)"</f>
        <v>폐기능 검사 이상 (추가검사필요)</v>
      </c>
      <c r="D1731" s="1" t="str">
        <f>"폐기능 검사를 제대로 수행하지 못하여 다른 방법으로 검사가 필요합니다. 2차검사를 받으시기 바랍니다."</f>
        <v>폐기능 검사를 제대로 수행하지 못하여 다른 방법으로 검사가 필요합니다. 2차검사를 받으시기 바랍니다.</v>
      </c>
      <c r="E1731" s="1" t="str">
        <f>""</f>
        <v/>
      </c>
      <c r="F1731" s="1" t="str">
        <f>""</f>
        <v/>
      </c>
      <c r="G1731" s="1" t="str">
        <f>"DISJ"</f>
        <v>DISJ</v>
      </c>
      <c r="H1731" s="1" t="str">
        <f>"REL02"</f>
        <v>REL02</v>
      </c>
      <c r="I1731" s="1" t="str">
        <f>""</f>
        <v/>
      </c>
      <c r="J1731" s="1" t="str">
        <f>"C40R"</f>
        <v>C40R</v>
      </c>
      <c r="K1731" s="1" t="str">
        <f>"C40R"</f>
        <v>C40R</v>
      </c>
      <c r="L1731" s="1" t="str">
        <f t="shared" si="497"/>
        <v>R</v>
      </c>
      <c r="M1731" s="1" t="str">
        <f>"T04"</f>
        <v>T04</v>
      </c>
      <c r="N1731" s="1" t="str">
        <f t="shared" si="498"/>
        <v>Y</v>
      </c>
      <c r="O1731" s="1" t="str">
        <f t="shared" si="517"/>
        <v>Y</v>
      </c>
      <c r="P1731" s="1" t="str">
        <f t="shared" si="505"/>
        <v>Y</v>
      </c>
      <c r="Q1731" s="1" t="str">
        <f t="shared" si="518"/>
        <v>A</v>
      </c>
    </row>
    <row r="1732" spans="1:17" x14ac:dyDescent="0.3">
      <c r="A1732" s="1" t="str">
        <f t="shared" si="516"/>
        <v>R</v>
      </c>
      <c r="B1732" s="1" t="str">
        <f>"J0077"</f>
        <v>J0077</v>
      </c>
      <c r="C1732" s="1" t="str">
        <f>"담석의심"</f>
        <v>담석의심</v>
      </c>
      <c r="D1732" s="1" t="str">
        <f>"X-ray검사상 담석의심되니 일반외과 진료받으세요"</f>
        <v>X-ray검사상 담석의심되니 일반외과 진료받으세요</v>
      </c>
      <c r="E1732" s="1" t="str">
        <f>""</f>
        <v/>
      </c>
      <c r="F1732" s="1" t="str">
        <f>"PTM03"</f>
        <v>PTM03</v>
      </c>
      <c r="G1732" s="1" t="str">
        <f>"DISK"</f>
        <v>DISK</v>
      </c>
      <c r="H1732" s="1" t="str">
        <f>"REL05"</f>
        <v>REL05</v>
      </c>
      <c r="I1732" s="1" t="str">
        <f>""</f>
        <v/>
      </c>
      <c r="J1732" s="1" t="str">
        <f>"C05R"</f>
        <v>C05R</v>
      </c>
      <c r="K1732" s="1" t="str">
        <f>"C05R"</f>
        <v>C05R</v>
      </c>
      <c r="L1732" s="1" t="str">
        <f t="shared" si="497"/>
        <v>R</v>
      </c>
      <c r="M1732" s="1" t="str">
        <f>"T02"</f>
        <v>T02</v>
      </c>
      <c r="N1732" s="1" t="str">
        <f t="shared" si="498"/>
        <v>Y</v>
      </c>
      <c r="O1732" s="1" t="str">
        <f t="shared" si="517"/>
        <v>Y</v>
      </c>
      <c r="P1732" s="1" t="str">
        <f t="shared" si="505"/>
        <v>Y</v>
      </c>
      <c r="Q1732" s="1" t="str">
        <f t="shared" si="518"/>
        <v>A</v>
      </c>
    </row>
    <row r="1733" spans="1:17" x14ac:dyDescent="0.3">
      <c r="A1733" s="1" t="str">
        <f t="shared" si="516"/>
        <v>R</v>
      </c>
      <c r="B1733" s="1" t="str">
        <f>"J0082"</f>
        <v>J0082</v>
      </c>
      <c r="C1733" s="1" t="str">
        <f>"(객담세포검사)의양성"</f>
        <v>(객담세포검사)의양성</v>
      </c>
      <c r="D1733" s="1" t="str">
        <f>"객담검사상 비정형 세포 관찰됨. 호흡기내과 진료 및 추가검사 필요."</f>
        <v>객담검사상 비정형 세포 관찰됨. 호흡기내과 진료 및 추가검사 필요.</v>
      </c>
      <c r="E1733" s="1" t="str">
        <f>""</f>
        <v/>
      </c>
      <c r="F1733" s="1" t="str">
        <f>""</f>
        <v/>
      </c>
      <c r="G1733" s="1" t="str">
        <f>"DISJ"</f>
        <v>DISJ</v>
      </c>
      <c r="H1733" s="1" t="str">
        <f>"REL02"</f>
        <v>REL02</v>
      </c>
      <c r="I1733" s="1" t="str">
        <f>""</f>
        <v/>
      </c>
      <c r="J1733" s="1" t="str">
        <f>"C02R"</f>
        <v>C02R</v>
      </c>
      <c r="K1733" s="1" t="str">
        <f>"C02R"</f>
        <v>C02R</v>
      </c>
      <c r="L1733" s="1" t="str">
        <f t="shared" ref="L1733:L1797" si="520">"R"</f>
        <v>R</v>
      </c>
      <c r="M1733" s="1" t="str">
        <f>"T04"</f>
        <v>T04</v>
      </c>
      <c r="N1733" s="1" t="str">
        <f t="shared" ref="N1733:N1799" si="521">"Y"</f>
        <v>Y</v>
      </c>
      <c r="O1733" s="1" t="str">
        <f t="shared" si="517"/>
        <v>Y</v>
      </c>
      <c r="P1733" s="1" t="str">
        <f t="shared" si="505"/>
        <v>Y</v>
      </c>
      <c r="Q1733" s="1" t="str">
        <f t="shared" si="518"/>
        <v>A</v>
      </c>
    </row>
    <row r="1734" spans="1:17" x14ac:dyDescent="0.3">
      <c r="A1734" s="1" t="str">
        <f t="shared" si="516"/>
        <v>R</v>
      </c>
      <c r="B1734" s="1" t="str">
        <f>"J0083"</f>
        <v>J0083</v>
      </c>
      <c r="C1734" s="1" t="str">
        <f>"천장관절 염증 의심"</f>
        <v>천장관절 염증 의심</v>
      </c>
      <c r="D1734" s="1" t="str">
        <f>"의사상담 및 추적검사를 받으세요."</f>
        <v>의사상담 및 추적검사를 받으세요.</v>
      </c>
      <c r="E1734" s="1" t="str">
        <f>""</f>
        <v/>
      </c>
      <c r="F1734" s="1" t="str">
        <f>""</f>
        <v/>
      </c>
      <c r="G1734" s="1" t="str">
        <f>"DISM"</f>
        <v>DISM</v>
      </c>
      <c r="H1734" s="1" t="str">
        <f>"REL22"</f>
        <v>REL22</v>
      </c>
      <c r="I1734" s="1" t="str">
        <f>""</f>
        <v/>
      </c>
      <c r="J1734" s="1" t="str">
        <f>"C43R"</f>
        <v>C43R</v>
      </c>
      <c r="K1734" s="1" t="str">
        <f>"C43R"</f>
        <v>C43R</v>
      </c>
      <c r="L1734" s="1" t="str">
        <f t="shared" si="520"/>
        <v>R</v>
      </c>
      <c r="M1734" s="1" t="str">
        <f>""</f>
        <v/>
      </c>
      <c r="N1734" s="1" t="str">
        <f t="shared" si="521"/>
        <v>Y</v>
      </c>
      <c r="O1734" s="1" t="str">
        <f t="shared" si="517"/>
        <v>Y</v>
      </c>
      <c r="P1734" s="1" t="str">
        <f t="shared" si="505"/>
        <v>Y</v>
      </c>
      <c r="Q1734" s="1" t="str">
        <f t="shared" si="518"/>
        <v>A</v>
      </c>
    </row>
    <row r="1735" spans="1:17" x14ac:dyDescent="0.3">
      <c r="A1735" s="1" t="str">
        <f t="shared" si="516"/>
        <v>R</v>
      </c>
      <c r="B1735" s="1" t="str">
        <f>"J0087"</f>
        <v>J0087</v>
      </c>
      <c r="C1735" s="1" t="str">
        <f>"(객담세포검사)양성"</f>
        <v>(객담세포검사)양성</v>
      </c>
      <c r="D1735" s="1" t="str">
        <f>"객담검사상 발암성 의심됩니다. 의사상담 및 추가검사를 받으세요."</f>
        <v>객담검사상 발암성 의심됩니다. 의사상담 및 추가검사를 받으세요.</v>
      </c>
      <c r="E1735" s="1" t="str">
        <f>""</f>
        <v/>
      </c>
      <c r="F1735" s="1" t="str">
        <f>""</f>
        <v/>
      </c>
      <c r="G1735" s="1" t="str">
        <f>"DISJ"</f>
        <v>DISJ</v>
      </c>
      <c r="H1735" s="1" t="str">
        <f>"REL02"</f>
        <v>REL02</v>
      </c>
      <c r="I1735" s="1" t="str">
        <f>""</f>
        <v/>
      </c>
      <c r="J1735" s="1" t="str">
        <f>"C02R"</f>
        <v>C02R</v>
      </c>
      <c r="K1735" s="1" t="str">
        <f>"C02R"</f>
        <v>C02R</v>
      </c>
      <c r="L1735" s="1" t="str">
        <f t="shared" si="520"/>
        <v>R</v>
      </c>
      <c r="M1735" s="1" t="str">
        <f>"T04"</f>
        <v>T04</v>
      </c>
      <c r="N1735" s="1" t="str">
        <f t="shared" si="521"/>
        <v>Y</v>
      </c>
      <c r="O1735" s="1" t="str">
        <f t="shared" si="517"/>
        <v>Y</v>
      </c>
      <c r="P1735" s="1" t="str">
        <f t="shared" si="505"/>
        <v>Y</v>
      </c>
      <c r="Q1735" s="1" t="str">
        <f t="shared" si="518"/>
        <v>A</v>
      </c>
    </row>
    <row r="1736" spans="1:17" x14ac:dyDescent="0.3">
      <c r="A1736" s="1" t="str">
        <f t="shared" si="516"/>
        <v>R</v>
      </c>
      <c r="B1736" s="1" t="str">
        <f>"J0121R"</f>
        <v>J0121R</v>
      </c>
      <c r="C1736" s="1" t="str">
        <f>"혈소판 감소 질환 의심"</f>
        <v>혈소판 감소 질환 의심</v>
      </c>
      <c r="D1736" s="1" t="str">
        <f>"정확한 감별진단을 위하여 2차검사가 필요합니다."</f>
        <v>정확한 감별진단을 위하여 2차검사가 필요합니다.</v>
      </c>
      <c r="E1736" s="1" t="str">
        <f>""</f>
        <v/>
      </c>
      <c r="F1736" s="1" t="str">
        <f>""</f>
        <v/>
      </c>
      <c r="G1736" s="1" t="str">
        <f>"DISD"</f>
        <v>DISD</v>
      </c>
      <c r="H1736" s="1" t="str">
        <f>"REL12"</f>
        <v>REL12</v>
      </c>
      <c r="I1736" s="1" t="str">
        <f>""</f>
        <v/>
      </c>
      <c r="J1736" s="1" t="str">
        <f>"C34C"</f>
        <v>C34C</v>
      </c>
      <c r="K1736" s="1" t="str">
        <f>"C34R"</f>
        <v>C34R</v>
      </c>
      <c r="L1736" s="1" t="str">
        <f t="shared" si="520"/>
        <v>R</v>
      </c>
      <c r="M1736" s="1" t="str">
        <f>"T01"</f>
        <v>T01</v>
      </c>
      <c r="N1736" s="1" t="str">
        <f t="shared" si="521"/>
        <v>Y</v>
      </c>
      <c r="O1736" s="1" t="str">
        <f t="shared" si="517"/>
        <v>Y</v>
      </c>
      <c r="P1736" s="1" t="str">
        <f t="shared" si="505"/>
        <v>Y</v>
      </c>
      <c r="Q1736" s="1" t="str">
        <f t="shared" si="518"/>
        <v>A</v>
      </c>
    </row>
    <row r="1737" spans="1:17" x14ac:dyDescent="0.3">
      <c r="A1737" s="1" t="str">
        <f t="shared" si="516"/>
        <v>R</v>
      </c>
      <c r="B1737" s="1" t="str">
        <f>"J0121R2"</f>
        <v>J0121R2</v>
      </c>
      <c r="C1737" s="1" t="str">
        <f>"혈소판 증가 질환 의심"</f>
        <v>혈소판 증가 질환 의심</v>
      </c>
      <c r="D1737" s="1" t="str">
        <f>"정확한 감별진단을 위하여 2차검사가 필요합니다."</f>
        <v>정확한 감별진단을 위하여 2차검사가 필요합니다.</v>
      </c>
      <c r="E1737" s="1" t="str">
        <f>""</f>
        <v/>
      </c>
      <c r="F1737" s="1" t="str">
        <f>""</f>
        <v/>
      </c>
      <c r="G1737" s="1" t="str">
        <f>"DISD"</f>
        <v>DISD</v>
      </c>
      <c r="H1737" s="1" t="str">
        <f>"REL12"</f>
        <v>REL12</v>
      </c>
      <c r="I1737" s="1" t="str">
        <f>""</f>
        <v/>
      </c>
      <c r="J1737" s="1" t="str">
        <f>"C34R"</f>
        <v>C34R</v>
      </c>
      <c r="K1737" s="1" t="str">
        <f>"C34R"</f>
        <v>C34R</v>
      </c>
      <c r="L1737" s="1" t="str">
        <f t="shared" si="520"/>
        <v>R</v>
      </c>
      <c r="M1737" s="1" t="str">
        <f>"T01"</f>
        <v>T01</v>
      </c>
      <c r="N1737" s="1" t="str">
        <f t="shared" si="521"/>
        <v>Y</v>
      </c>
      <c r="O1737" s="1" t="str">
        <f t="shared" si="517"/>
        <v>Y</v>
      </c>
      <c r="P1737" s="1" t="str">
        <f t="shared" si="505"/>
        <v>Y</v>
      </c>
      <c r="Q1737" s="1" t="str">
        <f t="shared" si="518"/>
        <v>A</v>
      </c>
    </row>
    <row r="1738" spans="1:17" x14ac:dyDescent="0.3">
      <c r="A1738" s="1" t="str">
        <f t="shared" si="516"/>
        <v>R</v>
      </c>
      <c r="B1738" s="1" t="str">
        <f>"J0129"</f>
        <v>J0129</v>
      </c>
      <c r="C1738" s="1" t="str">
        <f>"일산화탄소 과폭로 주의"</f>
        <v>일산화탄소 과폭로 주의</v>
      </c>
      <c r="D1738" s="1" t="s">
        <v>498</v>
      </c>
      <c r="E1738" s="1" t="str">
        <f>""</f>
        <v/>
      </c>
      <c r="F1738" s="1" t="str">
        <f>"PTM02"</f>
        <v>PTM02</v>
      </c>
      <c r="G1738" s="1" t="str">
        <f>"DIS410"</f>
        <v>DIS410</v>
      </c>
      <c r="H1738" s="1" t="str">
        <f>"REL06"</f>
        <v>REL06</v>
      </c>
      <c r="I1738" s="1" t="str">
        <f>"N0148"</f>
        <v>N0148</v>
      </c>
      <c r="J1738" s="1" t="str">
        <f>"S01R"</f>
        <v>S01R</v>
      </c>
      <c r="K1738" s="1" t="str">
        <f>"S01R"</f>
        <v>S01R</v>
      </c>
      <c r="L1738" s="1" t="str">
        <f t="shared" si="520"/>
        <v>R</v>
      </c>
      <c r="M1738" s="1" t="str">
        <f>"T12"</f>
        <v>T12</v>
      </c>
      <c r="N1738" s="1" t="str">
        <f t="shared" si="521"/>
        <v>Y</v>
      </c>
      <c r="O1738" s="1" t="str">
        <f t="shared" si="517"/>
        <v>Y</v>
      </c>
      <c r="P1738" s="1" t="str">
        <f t="shared" ref="P1738:P1801" si="522">"Y"</f>
        <v>Y</v>
      </c>
      <c r="Q1738" s="1" t="str">
        <f t="shared" si="518"/>
        <v>A</v>
      </c>
    </row>
    <row r="1739" spans="1:17" x14ac:dyDescent="0.3">
      <c r="A1739" s="1" t="str">
        <f t="shared" si="516"/>
        <v>R</v>
      </c>
      <c r="B1739" s="1" t="str">
        <f>"J0130"</f>
        <v>J0130</v>
      </c>
      <c r="C1739" s="1" t="str">
        <f>"일산화탄소 과폭로 의심"</f>
        <v>일산화탄소 과폭로 의심</v>
      </c>
      <c r="D1739" s="1" t="str">
        <f>"카르복시혈색소 상승 소견이 보입니다. 일산화탄소 과다 노출이 의심되므로 2차검사(재검)을 받으세요."</f>
        <v>카르복시혈색소 상승 소견이 보입니다. 일산화탄소 과다 노출이 의심되므로 2차검사(재검)을 받으세요.</v>
      </c>
      <c r="E1739" s="1" t="str">
        <f>""</f>
        <v/>
      </c>
      <c r="F1739" s="1" t="str">
        <f>""</f>
        <v/>
      </c>
      <c r="G1739" s="1" t="str">
        <f>"DIS410"</f>
        <v>DIS410</v>
      </c>
      <c r="H1739" s="1" t="str">
        <f>"REL06"</f>
        <v>REL06</v>
      </c>
      <c r="I1739" s="1" t="str">
        <f>"N0148"</f>
        <v>N0148</v>
      </c>
      <c r="J1739" s="1" t="str">
        <f>"S01R"</f>
        <v>S01R</v>
      </c>
      <c r="K1739" s="1" t="str">
        <f>"S01R"</f>
        <v>S01R</v>
      </c>
      <c r="L1739" s="1" t="str">
        <f t="shared" si="520"/>
        <v>R</v>
      </c>
      <c r="M1739" s="1" t="str">
        <f>"T12"</f>
        <v>T12</v>
      </c>
      <c r="N1739" s="1" t="str">
        <f t="shared" si="521"/>
        <v>Y</v>
      </c>
      <c r="O1739" s="1" t="str">
        <f t="shared" si="517"/>
        <v>Y</v>
      </c>
      <c r="P1739" s="1" t="str">
        <f t="shared" si="522"/>
        <v>Y</v>
      </c>
      <c r="Q1739" s="1" t="str">
        <f t="shared" si="518"/>
        <v>A</v>
      </c>
    </row>
    <row r="1740" spans="1:17" x14ac:dyDescent="0.3">
      <c r="A1740" s="1" t="str">
        <f t="shared" si="516"/>
        <v>R</v>
      </c>
      <c r="B1740" s="1" t="str">
        <f>"J0138"</f>
        <v>J0138</v>
      </c>
      <c r="C1740" s="1" t="str">
        <f>"추간판탈출증의심"</f>
        <v>추간판탈출증의심</v>
      </c>
      <c r="D1740" s="1" t="str">
        <f>"요통 등의 증상이 있을시 추적검사 및 전문의 상담 받으세요."</f>
        <v>요통 등의 증상이 있을시 추적검사 및 전문의 상담 받으세요.</v>
      </c>
      <c r="E1740" s="1" t="str">
        <f>""</f>
        <v/>
      </c>
      <c r="F1740" s="1" t="str">
        <f>""</f>
        <v/>
      </c>
      <c r="G1740" s="1" t="str">
        <f>"DISM"</f>
        <v>DISM</v>
      </c>
      <c r="H1740" s="1" t="str">
        <f>"REL22"</f>
        <v>REL22</v>
      </c>
      <c r="I1740" s="1" t="str">
        <f>""</f>
        <v/>
      </c>
      <c r="J1740" s="1" t="str">
        <f>"C43R"</f>
        <v>C43R</v>
      </c>
      <c r="K1740" s="1" t="str">
        <f>"C43R"</f>
        <v>C43R</v>
      </c>
      <c r="L1740" s="1" t="str">
        <f t="shared" si="520"/>
        <v>R</v>
      </c>
      <c r="M1740" s="1" t="str">
        <f>""</f>
        <v/>
      </c>
      <c r="N1740" s="1" t="str">
        <f t="shared" si="521"/>
        <v>Y</v>
      </c>
      <c r="O1740" s="1" t="str">
        <f t="shared" si="517"/>
        <v>Y</v>
      </c>
      <c r="P1740" s="1" t="str">
        <f t="shared" si="522"/>
        <v>Y</v>
      </c>
      <c r="Q1740" s="1" t="str">
        <f t="shared" si="518"/>
        <v>A</v>
      </c>
    </row>
    <row r="1741" spans="1:17" x14ac:dyDescent="0.3">
      <c r="A1741" s="1" t="str">
        <f t="shared" si="516"/>
        <v>R</v>
      </c>
      <c r="B1741" s="1" t="str">
        <f>"J0161"</f>
        <v>J0161</v>
      </c>
      <c r="C1741" s="1" t="str">
        <f>"요중 삼염화초산 재검사"</f>
        <v>요중 삼염화초산 재검사</v>
      </c>
      <c r="D1741" s="1" t="str">
        <f>"트리(퍼)클로로 에탄 등 염소화합물 작업 취급 주의 및 재검사 받으세요."</f>
        <v>트리(퍼)클로로 에탄 등 염소화합물 작업 취급 주의 및 재검사 받으세요.</v>
      </c>
      <c r="E1741" s="1" t="str">
        <f>""</f>
        <v/>
      </c>
      <c r="F1741" s="1" t="str">
        <f>""</f>
        <v/>
      </c>
      <c r="G1741" s="1" t="str">
        <f>"DIS299"</f>
        <v>DIS299</v>
      </c>
      <c r="H1741" s="1" t="str">
        <f>"REL17"</f>
        <v>REL17</v>
      </c>
      <c r="I1741" s="1" t="str">
        <f>""</f>
        <v/>
      </c>
      <c r="J1741" s="1" t="str">
        <f>"S01R"</f>
        <v>S01R</v>
      </c>
      <c r="K1741" s="1" t="str">
        <f>"S01R"</f>
        <v>S01R</v>
      </c>
      <c r="L1741" s="1" t="str">
        <f t="shared" si="520"/>
        <v>R</v>
      </c>
      <c r="M1741" s="1" t="str">
        <f>"T12"</f>
        <v>T12</v>
      </c>
      <c r="N1741" s="1" t="str">
        <f t="shared" si="521"/>
        <v>Y</v>
      </c>
      <c r="O1741" s="1" t="str">
        <f t="shared" si="517"/>
        <v>Y</v>
      </c>
      <c r="P1741" s="1" t="str">
        <f t="shared" si="522"/>
        <v>Y</v>
      </c>
      <c r="Q1741" s="1" t="str">
        <f t="shared" si="518"/>
        <v>A</v>
      </c>
    </row>
    <row r="1742" spans="1:17" x14ac:dyDescent="0.3">
      <c r="A1742" s="1" t="str">
        <f t="shared" ref="A1742:A1773" si="523">"R"</f>
        <v>R</v>
      </c>
      <c r="B1742" s="1" t="str">
        <f>"J0170"</f>
        <v>J0170</v>
      </c>
      <c r="C1742" s="1" t="str">
        <f>"폐기능 검사-제한성 폐기능 저하"</f>
        <v>폐기능 검사-제한성 폐기능 저하</v>
      </c>
      <c r="D1742" s="1" t="str">
        <f>"폐기능 검사 이상소견(제한성 폐기능 저하)이 있어 2차 검사(재검)가 필요합니다."</f>
        <v>폐기능 검사 이상소견(제한성 폐기능 저하)이 있어 2차 검사(재검)가 필요합니다.</v>
      </c>
      <c r="E1742" s="1" t="str">
        <f>""</f>
        <v/>
      </c>
      <c r="F1742" s="1" t="str">
        <f>""</f>
        <v/>
      </c>
      <c r="G1742" s="1" t="str">
        <f t="shared" ref="G1742:G1748" si="524">"DISJ"</f>
        <v>DISJ</v>
      </c>
      <c r="H1742" s="1" t="str">
        <f t="shared" ref="H1742:H1747" si="525">"REL02"</f>
        <v>REL02</v>
      </c>
      <c r="I1742" s="1" t="str">
        <f>""</f>
        <v/>
      </c>
      <c r="J1742" s="1" t="str">
        <f t="shared" ref="J1742:K1748" si="526">"C40R"</f>
        <v>C40R</v>
      </c>
      <c r="K1742" s="1" t="str">
        <f t="shared" si="526"/>
        <v>C40R</v>
      </c>
      <c r="L1742" s="1" t="str">
        <f t="shared" si="520"/>
        <v>R</v>
      </c>
      <c r="M1742" s="1" t="str">
        <f t="shared" ref="M1742:M1748" si="527">"T04"</f>
        <v>T04</v>
      </c>
      <c r="N1742" s="1" t="str">
        <f t="shared" si="521"/>
        <v>Y</v>
      </c>
      <c r="O1742" s="1" t="str">
        <f t="shared" si="517"/>
        <v>Y</v>
      </c>
      <c r="P1742" s="1" t="str">
        <f t="shared" si="522"/>
        <v>Y</v>
      </c>
      <c r="Q1742" s="1" t="str">
        <f t="shared" si="518"/>
        <v>A</v>
      </c>
    </row>
    <row r="1743" spans="1:17" x14ac:dyDescent="0.3">
      <c r="A1743" s="1" t="str">
        <f t="shared" si="523"/>
        <v>R</v>
      </c>
      <c r="B1743" s="1" t="str">
        <f>"J01701"</f>
        <v>J01701</v>
      </c>
      <c r="C1743" s="1" t="str">
        <f>"폐기능 검사-폐쇄성 폐기능 저하"</f>
        <v>폐기능 검사-폐쇄성 폐기능 저하</v>
      </c>
      <c r="D1743" s="1" t="str">
        <f>"폐기능 검사 이상소견(폐쇄성 폐기능 저하)이 있어 2차 검사(재검)가 필요합니다."</f>
        <v>폐기능 검사 이상소견(폐쇄성 폐기능 저하)이 있어 2차 검사(재검)가 필요합니다.</v>
      </c>
      <c r="E1743" s="1" t="str">
        <f>""</f>
        <v/>
      </c>
      <c r="F1743" s="1" t="str">
        <f>""</f>
        <v/>
      </c>
      <c r="G1743" s="1" t="str">
        <f t="shared" si="524"/>
        <v>DISJ</v>
      </c>
      <c r="H1743" s="1" t="str">
        <f t="shared" si="525"/>
        <v>REL02</v>
      </c>
      <c r="I1743" s="1" t="str">
        <f>""</f>
        <v/>
      </c>
      <c r="J1743" s="1" t="str">
        <f t="shared" si="526"/>
        <v>C40R</v>
      </c>
      <c r="K1743" s="1" t="str">
        <f t="shared" si="526"/>
        <v>C40R</v>
      </c>
      <c r="L1743" s="1" t="str">
        <f t="shared" si="520"/>
        <v>R</v>
      </c>
      <c r="M1743" s="1" t="str">
        <f t="shared" si="527"/>
        <v>T04</v>
      </c>
      <c r="N1743" s="1" t="str">
        <f t="shared" si="521"/>
        <v>Y</v>
      </c>
      <c r="O1743" s="1" t="str">
        <f t="shared" si="517"/>
        <v>Y</v>
      </c>
      <c r="P1743" s="1" t="str">
        <f t="shared" si="522"/>
        <v>Y</v>
      </c>
      <c r="Q1743" s="1" t="str">
        <f t="shared" si="518"/>
        <v>A</v>
      </c>
    </row>
    <row r="1744" spans="1:17" x14ac:dyDescent="0.3">
      <c r="A1744" s="1" t="str">
        <f t="shared" si="523"/>
        <v>R</v>
      </c>
      <c r="B1744" s="1" t="str">
        <f>"J01702"</f>
        <v>J01702</v>
      </c>
      <c r="C1744" s="1" t="str">
        <f>"폐기능 검사-혼합성 폐기능 저하"</f>
        <v>폐기능 검사-혼합성 폐기능 저하</v>
      </c>
      <c r="D1744" s="1" t="str">
        <f>"폐기능 검사 이상소견(혼합성 폐기능 저하)이 있어 2차 검사(재검)가 필요합니다."</f>
        <v>폐기능 검사 이상소견(혼합성 폐기능 저하)이 있어 2차 검사(재검)가 필요합니다.</v>
      </c>
      <c r="E1744" s="1" t="str">
        <f>""</f>
        <v/>
      </c>
      <c r="F1744" s="1" t="str">
        <f>""</f>
        <v/>
      </c>
      <c r="G1744" s="1" t="str">
        <f t="shared" si="524"/>
        <v>DISJ</v>
      </c>
      <c r="H1744" s="1" t="str">
        <f t="shared" si="525"/>
        <v>REL02</v>
      </c>
      <c r="I1744" s="1" t="str">
        <f>""</f>
        <v/>
      </c>
      <c r="J1744" s="1" t="str">
        <f t="shared" si="526"/>
        <v>C40R</v>
      </c>
      <c r="K1744" s="1" t="str">
        <f t="shared" si="526"/>
        <v>C40R</v>
      </c>
      <c r="L1744" s="1" t="str">
        <f t="shared" si="520"/>
        <v>R</v>
      </c>
      <c r="M1744" s="1" t="str">
        <f t="shared" si="527"/>
        <v>T04</v>
      </c>
      <c r="N1744" s="1" t="str">
        <f t="shared" si="521"/>
        <v>Y</v>
      </c>
      <c r="O1744" s="1" t="str">
        <f t="shared" si="517"/>
        <v>Y</v>
      </c>
      <c r="P1744" s="1" t="str">
        <f t="shared" si="522"/>
        <v>Y</v>
      </c>
      <c r="Q1744" s="1" t="str">
        <f t="shared" si="518"/>
        <v>A</v>
      </c>
    </row>
    <row r="1745" spans="1:17" x14ac:dyDescent="0.3">
      <c r="A1745" s="1" t="str">
        <f t="shared" si="523"/>
        <v>R</v>
      </c>
      <c r="B1745" s="1" t="str">
        <f>"J01703"</f>
        <v>J01703</v>
      </c>
      <c r="C1745" s="1" t="str">
        <f>"폐기능 검사-제한성 폐기능 저하 (추가검사필요)"</f>
        <v>폐기능 검사-제한성 폐기능 저하 (추가검사필요)</v>
      </c>
      <c r="D1745" s="1" t="str">
        <f>"폐기능 검사 이상소견(제한성 폐기능 저하)이 있어 2차 검사(재검)가 필요합니다."</f>
        <v>폐기능 검사 이상소견(제한성 폐기능 저하)이 있어 2차 검사(재검)가 필요합니다.</v>
      </c>
      <c r="E1745" s="1" t="str">
        <f>""</f>
        <v/>
      </c>
      <c r="F1745" s="1" t="str">
        <f>""</f>
        <v/>
      </c>
      <c r="G1745" s="1" t="str">
        <f t="shared" si="524"/>
        <v>DISJ</v>
      </c>
      <c r="H1745" s="1" t="str">
        <f t="shared" si="525"/>
        <v>REL02</v>
      </c>
      <c r="I1745" s="1" t="str">
        <f>""</f>
        <v/>
      </c>
      <c r="J1745" s="1" t="str">
        <f t="shared" si="526"/>
        <v>C40R</v>
      </c>
      <c r="K1745" s="1" t="str">
        <f t="shared" si="526"/>
        <v>C40R</v>
      </c>
      <c r="L1745" s="1" t="str">
        <f t="shared" si="520"/>
        <v>R</v>
      </c>
      <c r="M1745" s="1" t="str">
        <f t="shared" si="527"/>
        <v>T04</v>
      </c>
      <c r="N1745" s="1" t="str">
        <f t="shared" si="521"/>
        <v>Y</v>
      </c>
      <c r="O1745" s="1" t="str">
        <f t="shared" si="517"/>
        <v>Y</v>
      </c>
      <c r="P1745" s="1" t="str">
        <f t="shared" si="522"/>
        <v>Y</v>
      </c>
      <c r="Q1745" s="1" t="str">
        <f t="shared" si="518"/>
        <v>A</v>
      </c>
    </row>
    <row r="1746" spans="1:17" x14ac:dyDescent="0.3">
      <c r="A1746" s="1" t="str">
        <f t="shared" si="523"/>
        <v>R</v>
      </c>
      <c r="B1746" s="1" t="str">
        <f>"J01704"</f>
        <v>J01704</v>
      </c>
      <c r="C1746" s="1" t="str">
        <f>"폐기능 검사-폐쇄성 폐기능 저하 (추가검사필요)"</f>
        <v>폐기능 검사-폐쇄성 폐기능 저하 (추가검사필요)</v>
      </c>
      <c r="D1746" s="1" t="str">
        <f>"폐기능 검사 이상소견(폐쇄성 폐기능 저하)이 있어 2차 검사(재검)가 필요합니다."</f>
        <v>폐기능 검사 이상소견(폐쇄성 폐기능 저하)이 있어 2차 검사(재검)가 필요합니다.</v>
      </c>
      <c r="E1746" s="1" t="str">
        <f>""</f>
        <v/>
      </c>
      <c r="F1746" s="1" t="str">
        <f>""</f>
        <v/>
      </c>
      <c r="G1746" s="1" t="str">
        <f t="shared" si="524"/>
        <v>DISJ</v>
      </c>
      <c r="H1746" s="1" t="str">
        <f t="shared" si="525"/>
        <v>REL02</v>
      </c>
      <c r="I1746" s="1" t="str">
        <f>""</f>
        <v/>
      </c>
      <c r="J1746" s="1" t="str">
        <f t="shared" si="526"/>
        <v>C40R</v>
      </c>
      <c r="K1746" s="1" t="str">
        <f t="shared" si="526"/>
        <v>C40R</v>
      </c>
      <c r="L1746" s="1" t="str">
        <f t="shared" si="520"/>
        <v>R</v>
      </c>
      <c r="M1746" s="1" t="str">
        <f t="shared" si="527"/>
        <v>T04</v>
      </c>
      <c r="N1746" s="1" t="str">
        <f t="shared" si="521"/>
        <v>Y</v>
      </c>
      <c r="O1746" s="1" t="str">
        <f t="shared" si="517"/>
        <v>Y</v>
      </c>
      <c r="P1746" s="1" t="str">
        <f t="shared" si="522"/>
        <v>Y</v>
      </c>
      <c r="Q1746" s="1" t="str">
        <f t="shared" si="518"/>
        <v>A</v>
      </c>
    </row>
    <row r="1747" spans="1:17" x14ac:dyDescent="0.3">
      <c r="A1747" s="1" t="str">
        <f t="shared" si="523"/>
        <v>R</v>
      </c>
      <c r="B1747" s="1" t="str">
        <f>"J01705"</f>
        <v>J01705</v>
      </c>
      <c r="C1747" s="1" t="str">
        <f>"폐기능 검사-혼합성 폐기능 저하 (추가 검사 필요)"</f>
        <v>폐기능 검사-혼합성 폐기능 저하 (추가 검사 필요)</v>
      </c>
      <c r="D1747" s="1" t="str">
        <f>"폐기능 검사 이상소견(혼합성 폐기능 저하)이 있어 2차 검사(재검)가 필요합니다."</f>
        <v>폐기능 검사 이상소견(혼합성 폐기능 저하)이 있어 2차 검사(재검)가 필요합니다.</v>
      </c>
      <c r="E1747" s="1" t="str">
        <f>""</f>
        <v/>
      </c>
      <c r="F1747" s="1" t="str">
        <f>""</f>
        <v/>
      </c>
      <c r="G1747" s="1" t="str">
        <f t="shared" si="524"/>
        <v>DISJ</v>
      </c>
      <c r="H1747" s="1" t="str">
        <f t="shared" si="525"/>
        <v>REL02</v>
      </c>
      <c r="I1747" s="1" t="str">
        <f>""</f>
        <v/>
      </c>
      <c r="J1747" s="1" t="str">
        <f t="shared" si="526"/>
        <v>C40R</v>
      </c>
      <c r="K1747" s="1" t="str">
        <f t="shared" si="526"/>
        <v>C40R</v>
      </c>
      <c r="L1747" s="1" t="str">
        <f t="shared" si="520"/>
        <v>R</v>
      </c>
      <c r="M1747" s="1" t="str">
        <f t="shared" si="527"/>
        <v>T04</v>
      </c>
      <c r="N1747" s="1" t="str">
        <f t="shared" si="521"/>
        <v>Y</v>
      </c>
      <c r="O1747" s="1" t="str">
        <f t="shared" si="517"/>
        <v>Y</v>
      </c>
      <c r="P1747" s="1" t="str">
        <f t="shared" si="522"/>
        <v>Y</v>
      </c>
      <c r="Q1747" s="1" t="str">
        <f t="shared" si="518"/>
        <v>A</v>
      </c>
    </row>
    <row r="1748" spans="1:17" x14ac:dyDescent="0.3">
      <c r="A1748" s="1" t="str">
        <f t="shared" si="523"/>
        <v>R</v>
      </c>
      <c r="B1748" s="1" t="str">
        <f>"J0171"</f>
        <v>J0171</v>
      </c>
      <c r="C1748" s="1" t="str">
        <f>"폐기능검사-폐기능 저하"</f>
        <v>폐기능검사-폐기능 저하</v>
      </c>
      <c r="D1748" s="1" t="str">
        <f>"재검사가 필요함"</f>
        <v>재검사가 필요함</v>
      </c>
      <c r="E1748" s="1" t="str">
        <f>""</f>
        <v/>
      </c>
      <c r="F1748" s="1" t="str">
        <f>""</f>
        <v/>
      </c>
      <c r="G1748" s="1" t="str">
        <f t="shared" si="524"/>
        <v>DISJ</v>
      </c>
      <c r="H1748" s="1" t="str">
        <f>"REL15"</f>
        <v>REL15</v>
      </c>
      <c r="I1748" s="1" t="str">
        <f>""</f>
        <v/>
      </c>
      <c r="J1748" s="1" t="str">
        <f t="shared" si="526"/>
        <v>C40R</v>
      </c>
      <c r="K1748" s="1" t="str">
        <f t="shared" si="526"/>
        <v>C40R</v>
      </c>
      <c r="L1748" s="1" t="str">
        <f t="shared" si="520"/>
        <v>R</v>
      </c>
      <c r="M1748" s="1" t="str">
        <f t="shared" si="527"/>
        <v>T04</v>
      </c>
      <c r="N1748" s="1" t="str">
        <f t="shared" si="521"/>
        <v>Y</v>
      </c>
      <c r="O1748" s="1" t="str">
        <f t="shared" si="517"/>
        <v>Y</v>
      </c>
      <c r="P1748" s="1" t="str">
        <f t="shared" si="522"/>
        <v>Y</v>
      </c>
      <c r="Q1748" s="1" t="str">
        <f t="shared" si="518"/>
        <v>A</v>
      </c>
    </row>
    <row r="1749" spans="1:17" x14ac:dyDescent="0.3">
      <c r="A1749" s="1" t="str">
        <f t="shared" si="523"/>
        <v>R</v>
      </c>
      <c r="B1749" s="1" t="str">
        <f>"J0175"</f>
        <v>J0175</v>
      </c>
      <c r="C1749" s="1" t="str">
        <f>"유기용제 노출의심"</f>
        <v>유기용제 노출의심</v>
      </c>
      <c r="D1749" s="1" t="s">
        <v>499</v>
      </c>
      <c r="E1749" s="1" t="str">
        <f>""</f>
        <v/>
      </c>
      <c r="F1749" s="1" t="str">
        <f>""</f>
        <v/>
      </c>
      <c r="G1749" s="1" t="str">
        <f>"DIS299"</f>
        <v>DIS299</v>
      </c>
      <c r="H1749" s="1" t="str">
        <f>"REL17"</f>
        <v>REL17</v>
      </c>
      <c r="I1749" s="1" t="str">
        <f>""</f>
        <v/>
      </c>
      <c r="J1749" s="1" t="str">
        <f>"S01R"</f>
        <v>S01R</v>
      </c>
      <c r="K1749" s="1" t="str">
        <f>"S01R"</f>
        <v>S01R</v>
      </c>
      <c r="L1749" s="1" t="str">
        <f t="shared" si="520"/>
        <v>R</v>
      </c>
      <c r="M1749" s="1" t="str">
        <f>"T02"</f>
        <v>T02</v>
      </c>
      <c r="N1749" s="1" t="str">
        <f t="shared" si="521"/>
        <v>Y</v>
      </c>
      <c r="O1749" s="1" t="str">
        <f>"N"</f>
        <v>N</v>
      </c>
      <c r="P1749" s="1" t="str">
        <f t="shared" si="522"/>
        <v>Y</v>
      </c>
      <c r="Q1749" s="1" t="str">
        <f t="shared" si="518"/>
        <v>A</v>
      </c>
    </row>
    <row r="1750" spans="1:17" x14ac:dyDescent="0.3">
      <c r="A1750" s="1" t="str">
        <f t="shared" si="523"/>
        <v>R</v>
      </c>
      <c r="B1750" s="1" t="str">
        <f>"J0176"</f>
        <v>J0176</v>
      </c>
      <c r="C1750" s="1" t="str">
        <f>"유기화합물 노출 의심"</f>
        <v>유기화합물 노출 의심</v>
      </c>
      <c r="D1750" s="1" t="s">
        <v>500</v>
      </c>
      <c r="E1750" s="1" t="str">
        <f>""</f>
        <v/>
      </c>
      <c r="F1750" s="1" t="str">
        <f>""</f>
        <v/>
      </c>
      <c r="G1750" s="1" t="str">
        <f>"DIS299"</f>
        <v>DIS299</v>
      </c>
      <c r="H1750" s="1" t="str">
        <f>"REL17"</f>
        <v>REL17</v>
      </c>
      <c r="I1750" s="1" t="str">
        <f>""</f>
        <v/>
      </c>
      <c r="J1750" s="1" t="str">
        <f>"S01R"</f>
        <v>S01R</v>
      </c>
      <c r="K1750" s="1" t="str">
        <f>"S01R"</f>
        <v>S01R</v>
      </c>
      <c r="L1750" s="1" t="str">
        <f t="shared" si="520"/>
        <v>R</v>
      </c>
      <c r="M1750" s="1" t="str">
        <f>"T02"</f>
        <v>T02</v>
      </c>
      <c r="N1750" s="1" t="str">
        <f t="shared" si="521"/>
        <v>Y</v>
      </c>
      <c r="O1750" s="1" t="str">
        <f t="shared" ref="O1750:O1781" si="528">"Y"</f>
        <v>Y</v>
      </c>
      <c r="P1750" s="1" t="str">
        <f t="shared" si="522"/>
        <v>Y</v>
      </c>
      <c r="Q1750" s="1" t="str">
        <f t="shared" si="518"/>
        <v>A</v>
      </c>
    </row>
    <row r="1751" spans="1:17" x14ac:dyDescent="0.3">
      <c r="A1751" s="1" t="str">
        <f t="shared" si="523"/>
        <v>R</v>
      </c>
      <c r="B1751" s="1" t="str">
        <f>"J0178"</f>
        <v>J0178</v>
      </c>
      <c r="C1751" s="1" t="str">
        <f>"색각이상"</f>
        <v>색각이상</v>
      </c>
      <c r="D1751" s="1" t="str">
        <f>"다른 안질환 감별 위한 안과진료 받으세요."</f>
        <v>다른 안질환 감별 위한 안과진료 받으세요.</v>
      </c>
      <c r="E1751" s="1" t="str">
        <f>""</f>
        <v/>
      </c>
      <c r="F1751" s="1" t="str">
        <f>""</f>
        <v/>
      </c>
      <c r="G1751" s="1" t="str">
        <f>""</f>
        <v/>
      </c>
      <c r="H1751" s="1" t="str">
        <f>""</f>
        <v/>
      </c>
      <c r="I1751" s="1" t="str">
        <f>""</f>
        <v/>
      </c>
      <c r="J1751" s="1" t="str">
        <f>""</f>
        <v/>
      </c>
      <c r="K1751" s="1" t="str">
        <f>""</f>
        <v/>
      </c>
      <c r="L1751" s="1" t="str">
        <f t="shared" si="520"/>
        <v>R</v>
      </c>
      <c r="M1751" s="1" t="str">
        <f>""</f>
        <v/>
      </c>
      <c r="N1751" s="1" t="str">
        <f t="shared" si="521"/>
        <v>Y</v>
      </c>
      <c r="O1751" s="1" t="str">
        <f t="shared" si="528"/>
        <v>Y</v>
      </c>
      <c r="P1751" s="1" t="str">
        <f t="shared" si="522"/>
        <v>Y</v>
      </c>
      <c r="Q1751" s="1" t="str">
        <f t="shared" si="518"/>
        <v>A</v>
      </c>
    </row>
    <row r="1752" spans="1:17" x14ac:dyDescent="0.3">
      <c r="A1752" s="1" t="str">
        <f t="shared" si="523"/>
        <v>R</v>
      </c>
      <c r="B1752" s="1" t="str">
        <f>"J0182"</f>
        <v>J0182</v>
      </c>
      <c r="C1752" s="1" t="str">
        <f>"장티푸스 의심"</f>
        <v>장티푸스 의심</v>
      </c>
      <c r="D1752" s="1" t="str">
        <f>"항체 양성으로 살모넬라 감염 의심됩니다. 정확한 진단을 위해 재검사를 받으세요."</f>
        <v>항체 양성으로 살모넬라 감염 의심됩니다. 정확한 진단을 위해 재검사를 받으세요.</v>
      </c>
      <c r="E1752" s="1" t="str">
        <f>""</f>
        <v/>
      </c>
      <c r="F1752" s="1" t="str">
        <f>""</f>
        <v/>
      </c>
      <c r="G1752" s="1" t="str">
        <f>""</f>
        <v/>
      </c>
      <c r="H1752" s="1" t="str">
        <f>""</f>
        <v/>
      </c>
      <c r="I1752" s="1" t="str">
        <f>""</f>
        <v/>
      </c>
      <c r="J1752" s="1" t="str">
        <f>"C32R"</f>
        <v>C32R</v>
      </c>
      <c r="K1752" s="1" t="str">
        <f>"C32R"</f>
        <v>C32R</v>
      </c>
      <c r="L1752" s="1" t="str">
        <f t="shared" si="520"/>
        <v>R</v>
      </c>
      <c r="M1752" s="1" t="str">
        <f>""</f>
        <v/>
      </c>
      <c r="N1752" s="1" t="str">
        <f t="shared" si="521"/>
        <v>Y</v>
      </c>
      <c r="O1752" s="1" t="str">
        <f t="shared" si="528"/>
        <v>Y</v>
      </c>
      <c r="P1752" s="1" t="str">
        <f t="shared" si="522"/>
        <v>Y</v>
      </c>
      <c r="Q1752" s="1" t="str">
        <f t="shared" si="518"/>
        <v>A</v>
      </c>
    </row>
    <row r="1753" spans="1:17" x14ac:dyDescent="0.3">
      <c r="A1753" s="1" t="str">
        <f t="shared" si="523"/>
        <v>R</v>
      </c>
      <c r="B1753" s="1" t="str">
        <f>"J0183"</f>
        <v>J0183</v>
      </c>
      <c r="C1753" s="1" t="str">
        <f>"유해광선 노출 의심"</f>
        <v>유해광선 노출 의심</v>
      </c>
      <c r="D1753" s="1" t="str">
        <f>"산업의학과 방문해 2차 검사(안과) 받으세요"</f>
        <v>산업의학과 방문해 2차 검사(안과) 받으세요</v>
      </c>
      <c r="E1753" s="1" t="str">
        <f>""</f>
        <v/>
      </c>
      <c r="F1753" s="1" t="str">
        <f>""</f>
        <v/>
      </c>
      <c r="G1753" s="1" t="str">
        <f>"DISH"</f>
        <v>DISH</v>
      </c>
      <c r="H1753" s="1" t="str">
        <f>"REL14"</f>
        <v>REL14</v>
      </c>
      <c r="I1753" s="1" t="str">
        <f>"N0240"</f>
        <v>N0240</v>
      </c>
      <c r="J1753" s="1" t="str">
        <f t="shared" ref="J1753:K1755" si="529">"S01R"</f>
        <v>S01R</v>
      </c>
      <c r="K1753" s="1" t="str">
        <f t="shared" si="529"/>
        <v>S01R</v>
      </c>
      <c r="L1753" s="1" t="str">
        <f t="shared" si="520"/>
        <v>R</v>
      </c>
      <c r="M1753" s="1" t="str">
        <f>"T09"</f>
        <v>T09</v>
      </c>
      <c r="N1753" s="1" t="str">
        <f t="shared" si="521"/>
        <v>Y</v>
      </c>
      <c r="O1753" s="1" t="str">
        <f t="shared" si="528"/>
        <v>Y</v>
      </c>
      <c r="P1753" s="1" t="str">
        <f t="shared" si="522"/>
        <v>Y</v>
      </c>
      <c r="Q1753" s="1" t="str">
        <f t="shared" si="518"/>
        <v>A</v>
      </c>
    </row>
    <row r="1754" spans="1:17" x14ac:dyDescent="0.3">
      <c r="A1754" s="1" t="str">
        <f t="shared" si="523"/>
        <v>R</v>
      </c>
      <c r="B1754" s="1" t="str">
        <f>"J0186"</f>
        <v>J0186</v>
      </c>
      <c r="C1754" s="1" t="str">
        <f>"혈중납 초과 의심"</f>
        <v>혈중납 초과 의심</v>
      </c>
      <c r="D1754" s="1" t="str">
        <f>"납에 과폭로된 상태이므로. 보호구착용 철저히 하시고 추적검사 받으세요."</f>
        <v>납에 과폭로된 상태이므로. 보호구착용 철저히 하시고 추적검사 받으세요.</v>
      </c>
      <c r="E1754" s="1" t="str">
        <f>""</f>
        <v/>
      </c>
      <c r="F1754" s="1" t="str">
        <f>""</f>
        <v/>
      </c>
      <c r="G1754" s="1" t="str">
        <f>"DIS306"</f>
        <v>DIS306</v>
      </c>
      <c r="H1754" s="1" t="str">
        <f>"REL16"</f>
        <v>REL16</v>
      </c>
      <c r="I1754" s="1" t="str">
        <f>"N0111"</f>
        <v>N0111</v>
      </c>
      <c r="J1754" s="1" t="str">
        <f t="shared" si="529"/>
        <v>S01R</v>
      </c>
      <c r="K1754" s="1" t="str">
        <f t="shared" si="529"/>
        <v>S01R</v>
      </c>
      <c r="L1754" s="1" t="str">
        <f t="shared" si="520"/>
        <v>R</v>
      </c>
      <c r="M1754" s="1" t="str">
        <f>"T12"</f>
        <v>T12</v>
      </c>
      <c r="N1754" s="1" t="str">
        <f t="shared" si="521"/>
        <v>Y</v>
      </c>
      <c r="O1754" s="1" t="str">
        <f t="shared" si="528"/>
        <v>Y</v>
      </c>
      <c r="P1754" s="1" t="str">
        <f t="shared" si="522"/>
        <v>Y</v>
      </c>
      <c r="Q1754" s="1" t="str">
        <f t="shared" si="518"/>
        <v>A</v>
      </c>
    </row>
    <row r="1755" spans="1:17" x14ac:dyDescent="0.3">
      <c r="A1755" s="1" t="str">
        <f t="shared" si="523"/>
        <v>R</v>
      </c>
      <c r="B1755" s="1" t="str">
        <f>"J0188"</f>
        <v>J0188</v>
      </c>
      <c r="C1755" s="1" t="str">
        <f>"납지표 초과 의심"</f>
        <v>납지표 초과 의심</v>
      </c>
      <c r="D1755" s="1" t="str">
        <f>"납에 과노출된 상태이므로. 보호구착용 철저히 하시고 추적검사 받으세요."</f>
        <v>납에 과노출된 상태이므로. 보호구착용 철저히 하시고 추적검사 받으세요.</v>
      </c>
      <c r="E1755" s="1" t="str">
        <f>""</f>
        <v/>
      </c>
      <c r="F1755" s="1" t="str">
        <f>""</f>
        <v/>
      </c>
      <c r="G1755" s="1" t="str">
        <f>"DIS306"</f>
        <v>DIS306</v>
      </c>
      <c r="H1755" s="1" t="str">
        <f>"REL16"</f>
        <v>REL16</v>
      </c>
      <c r="I1755" s="1" t="str">
        <f>"N0111"</f>
        <v>N0111</v>
      </c>
      <c r="J1755" s="1" t="str">
        <f t="shared" si="529"/>
        <v>S01R</v>
      </c>
      <c r="K1755" s="1" t="str">
        <f t="shared" si="529"/>
        <v>S01R</v>
      </c>
      <c r="L1755" s="1" t="str">
        <f t="shared" si="520"/>
        <v>R</v>
      </c>
      <c r="M1755" s="1" t="str">
        <f>"T12"</f>
        <v>T12</v>
      </c>
      <c r="N1755" s="1" t="str">
        <f t="shared" si="521"/>
        <v>Y</v>
      </c>
      <c r="O1755" s="1" t="str">
        <f t="shared" si="528"/>
        <v>Y</v>
      </c>
      <c r="P1755" s="1" t="str">
        <f t="shared" si="522"/>
        <v>Y</v>
      </c>
      <c r="Q1755" s="1" t="str">
        <f t="shared" si="518"/>
        <v>A</v>
      </c>
    </row>
    <row r="1756" spans="1:17" x14ac:dyDescent="0.3">
      <c r="A1756" s="1" t="str">
        <f t="shared" si="523"/>
        <v>R</v>
      </c>
      <c r="B1756" s="1" t="str">
        <f>"J0190"</f>
        <v>J0190</v>
      </c>
      <c r="C1756" s="1" t="str">
        <f>"백혈구증가증"</f>
        <v>백혈구증가증</v>
      </c>
      <c r="D1756" s="1" t="str">
        <f>"백혈구 증가의 원인을 확인하기 위한 재검사를 받으세요."</f>
        <v>백혈구 증가의 원인을 확인하기 위한 재검사를 받으세요.</v>
      </c>
      <c r="E1756" s="1" t="str">
        <f>""</f>
        <v/>
      </c>
      <c r="F1756" s="1" t="str">
        <f>""</f>
        <v/>
      </c>
      <c r="G1756" s="1" t="str">
        <f>"DISD"</f>
        <v>DISD</v>
      </c>
      <c r="H1756" s="1" t="str">
        <f>"REL12"</f>
        <v>REL12</v>
      </c>
      <c r="I1756" s="1" t="str">
        <f>""</f>
        <v/>
      </c>
      <c r="J1756" s="1" t="str">
        <f>"C34R"</f>
        <v>C34R</v>
      </c>
      <c r="K1756" s="1" t="str">
        <f>"C34R"</f>
        <v>C34R</v>
      </c>
      <c r="L1756" s="1" t="str">
        <f t="shared" si="520"/>
        <v>R</v>
      </c>
      <c r="M1756" s="1" t="str">
        <f>"T01"</f>
        <v>T01</v>
      </c>
      <c r="N1756" s="1" t="str">
        <f t="shared" si="521"/>
        <v>Y</v>
      </c>
      <c r="O1756" s="1" t="str">
        <f t="shared" si="528"/>
        <v>Y</v>
      </c>
      <c r="P1756" s="1" t="str">
        <f t="shared" si="522"/>
        <v>Y</v>
      </c>
      <c r="Q1756" s="1" t="str">
        <f t="shared" si="518"/>
        <v>A</v>
      </c>
    </row>
    <row r="1757" spans="1:17" x14ac:dyDescent="0.3">
      <c r="A1757" s="1" t="str">
        <f t="shared" si="523"/>
        <v>R</v>
      </c>
      <c r="B1757" s="1" t="str">
        <f>"J0191"</f>
        <v>J0191</v>
      </c>
      <c r="C1757" s="1" t="str">
        <f>"혈액질환의심(백혈구)"</f>
        <v>혈액질환의심(백혈구)</v>
      </c>
      <c r="D1757" s="1" t="str">
        <f>"백혈구수치가 정상 범위에서 벗어나 있습니다. 혈액 정밀검사 요합니다."</f>
        <v>백혈구수치가 정상 범위에서 벗어나 있습니다. 혈액 정밀검사 요합니다.</v>
      </c>
      <c r="E1757" s="1" t="str">
        <f>""</f>
        <v/>
      </c>
      <c r="F1757" s="1" t="str">
        <f>""</f>
        <v/>
      </c>
      <c r="G1757" s="1" t="str">
        <f>"DISD"</f>
        <v>DISD</v>
      </c>
      <c r="H1757" s="1" t="str">
        <f>"REL12"</f>
        <v>REL12</v>
      </c>
      <c r="I1757" s="1" t="str">
        <f>""</f>
        <v/>
      </c>
      <c r="J1757" s="1" t="str">
        <f>"C34R"</f>
        <v>C34R</v>
      </c>
      <c r="K1757" s="1" t="str">
        <f>"C34R"</f>
        <v>C34R</v>
      </c>
      <c r="L1757" s="1" t="str">
        <f t="shared" si="520"/>
        <v>R</v>
      </c>
      <c r="M1757" s="1" t="str">
        <f>"T01"</f>
        <v>T01</v>
      </c>
      <c r="N1757" s="1" t="str">
        <f t="shared" si="521"/>
        <v>Y</v>
      </c>
      <c r="O1757" s="1" t="str">
        <f t="shared" si="528"/>
        <v>Y</v>
      </c>
      <c r="P1757" s="1" t="str">
        <f t="shared" si="522"/>
        <v>Y</v>
      </c>
      <c r="Q1757" s="1" t="str">
        <f t="shared" si="518"/>
        <v>A</v>
      </c>
    </row>
    <row r="1758" spans="1:17" x14ac:dyDescent="0.3">
      <c r="A1758" s="1" t="str">
        <f t="shared" si="523"/>
        <v>R</v>
      </c>
      <c r="B1758" s="1" t="str">
        <f>"J0221"</f>
        <v>J0221</v>
      </c>
      <c r="C1758" s="1" t="str">
        <f>"요중 수은 재검"</f>
        <v>요중 수은 재검</v>
      </c>
      <c r="D1758" s="1" t="str">
        <f>"수은에 대한 과폭로가 의심되므로 추가검사가 필요합니다."</f>
        <v>수은에 대한 과폭로가 의심되므로 추가검사가 필요합니다.</v>
      </c>
      <c r="E1758" s="1" t="str">
        <f>""</f>
        <v/>
      </c>
      <c r="F1758" s="1" t="str">
        <f>""</f>
        <v/>
      </c>
      <c r="G1758" s="1" t="str">
        <f>"DIS305"</f>
        <v>DIS305</v>
      </c>
      <c r="H1758" s="1" t="str">
        <f>"REL16"</f>
        <v>REL16</v>
      </c>
      <c r="I1758" s="1" t="str">
        <f>"N0117"</f>
        <v>N0117</v>
      </c>
      <c r="J1758" s="1" t="str">
        <f>"S01R"</f>
        <v>S01R</v>
      </c>
      <c r="K1758" s="1" t="str">
        <f>"S01R"</f>
        <v>S01R</v>
      </c>
      <c r="L1758" s="1" t="str">
        <f t="shared" si="520"/>
        <v>R</v>
      </c>
      <c r="M1758" s="1" t="str">
        <f>"T12"</f>
        <v>T12</v>
      </c>
      <c r="N1758" s="1" t="str">
        <f t="shared" si="521"/>
        <v>Y</v>
      </c>
      <c r="O1758" s="1" t="str">
        <f t="shared" si="528"/>
        <v>Y</v>
      </c>
      <c r="P1758" s="1" t="str">
        <f t="shared" si="522"/>
        <v>Y</v>
      </c>
      <c r="Q1758" s="1" t="str">
        <f t="shared" si="518"/>
        <v>A</v>
      </c>
    </row>
    <row r="1759" spans="1:17" x14ac:dyDescent="0.3">
      <c r="A1759" s="1" t="str">
        <f t="shared" si="523"/>
        <v>R</v>
      </c>
      <c r="B1759" s="1" t="str">
        <f>"J0223"</f>
        <v>J0223</v>
      </c>
      <c r="C1759" s="1" t="str">
        <f>"피부과 진료 요함"</f>
        <v>피부과 진료 요함</v>
      </c>
      <c r="D1759" s="1" t="str">
        <f>"피부 증상에 대한 정밀검사가 필요합니다."</f>
        <v>피부 증상에 대한 정밀검사가 필요합니다.</v>
      </c>
      <c r="E1759" s="1" t="str">
        <f>""</f>
        <v/>
      </c>
      <c r="F1759" s="1" t="str">
        <f>""</f>
        <v/>
      </c>
      <c r="G1759" s="1" t="str">
        <f>"DISL"</f>
        <v>DISL</v>
      </c>
      <c r="H1759" s="1" t="str">
        <f>"REL13"</f>
        <v>REL13</v>
      </c>
      <c r="I1759" s="1" t="str">
        <f>""</f>
        <v/>
      </c>
      <c r="J1759" s="1" t="str">
        <f>"S01R"</f>
        <v>S01R</v>
      </c>
      <c r="K1759" s="1" t="str">
        <f>"S01R"</f>
        <v>S01R</v>
      </c>
      <c r="L1759" s="1" t="str">
        <f t="shared" si="520"/>
        <v>R</v>
      </c>
      <c r="M1759" s="1" t="str">
        <f>"T08"</f>
        <v>T08</v>
      </c>
      <c r="N1759" s="1" t="str">
        <f t="shared" si="521"/>
        <v>Y</v>
      </c>
      <c r="O1759" s="1" t="str">
        <f t="shared" si="528"/>
        <v>Y</v>
      </c>
      <c r="P1759" s="1" t="str">
        <f t="shared" si="522"/>
        <v>Y</v>
      </c>
      <c r="Q1759" s="1" t="str">
        <f t="shared" si="518"/>
        <v>A</v>
      </c>
    </row>
    <row r="1760" spans="1:17" x14ac:dyDescent="0.3">
      <c r="A1760" s="1" t="str">
        <f t="shared" si="523"/>
        <v>R</v>
      </c>
      <c r="B1760" s="1" t="str">
        <f>"J0224"</f>
        <v>J0224</v>
      </c>
      <c r="C1760" s="1" t="str">
        <f>"이비인후과 진료 요함"</f>
        <v>이비인후과 진료 요함</v>
      </c>
      <c r="D1760" s="1" t="str">
        <f>"비염 및 후각기능에 대한 정밀검사 받으세요."</f>
        <v>비염 및 후각기능에 대한 정밀검사 받으세요.</v>
      </c>
      <c r="E1760" s="1" t="str">
        <f>""</f>
        <v/>
      </c>
      <c r="F1760" s="1" t="str">
        <f>""</f>
        <v/>
      </c>
      <c r="G1760" s="1" t="str">
        <f>"DISJ"</f>
        <v>DISJ</v>
      </c>
      <c r="H1760" s="1" t="str">
        <f>"REL31"</f>
        <v>REL31</v>
      </c>
      <c r="I1760" s="1" t="str">
        <f>""</f>
        <v/>
      </c>
      <c r="J1760" s="1" t="str">
        <f>"C40R"</f>
        <v>C40R</v>
      </c>
      <c r="K1760" s="1" t="str">
        <f>"C40R"</f>
        <v>C40R</v>
      </c>
      <c r="L1760" s="1" t="str">
        <f t="shared" si="520"/>
        <v>R</v>
      </c>
      <c r="M1760" s="1" t="str">
        <f>"T04"</f>
        <v>T04</v>
      </c>
      <c r="N1760" s="1" t="str">
        <f t="shared" si="521"/>
        <v>Y</v>
      </c>
      <c r="O1760" s="1" t="str">
        <f t="shared" si="528"/>
        <v>Y</v>
      </c>
      <c r="P1760" s="1" t="str">
        <f t="shared" si="522"/>
        <v>Y</v>
      </c>
      <c r="Q1760" s="1" t="str">
        <f t="shared" si="518"/>
        <v>A</v>
      </c>
    </row>
    <row r="1761" spans="1:17" x14ac:dyDescent="0.3">
      <c r="A1761" s="1" t="str">
        <f t="shared" si="523"/>
        <v>R</v>
      </c>
      <c r="B1761" s="1" t="str">
        <f>"J0225"</f>
        <v>J0225</v>
      </c>
      <c r="C1761" s="1" t="str">
        <f>"이비인후과 진료 요함"</f>
        <v>이비인후과 진료 요함</v>
      </c>
      <c r="D1761" s="1" t="str">
        <f>"청력저하에 대한 정밀검사 받으세요."</f>
        <v>청력저하에 대한 정밀검사 받으세요.</v>
      </c>
      <c r="E1761" s="1" t="str">
        <f>""</f>
        <v/>
      </c>
      <c r="F1761" s="1" t="str">
        <f>""</f>
        <v/>
      </c>
      <c r="G1761" s="1" t="str">
        <f>""</f>
        <v/>
      </c>
      <c r="H1761" s="1" t="str">
        <f>"REL19"</f>
        <v>REL19</v>
      </c>
      <c r="I1761" s="1" t="str">
        <f>"01"</f>
        <v>01</v>
      </c>
      <c r="J1761" s="1" t="str">
        <f>"S01R"</f>
        <v>S01R</v>
      </c>
      <c r="K1761" s="1" t="str">
        <f>"S01R"</f>
        <v>S01R</v>
      </c>
      <c r="L1761" s="1" t="str">
        <f t="shared" si="520"/>
        <v>R</v>
      </c>
      <c r="M1761" s="1" t="str">
        <f>"T10"</f>
        <v>T10</v>
      </c>
      <c r="N1761" s="1" t="str">
        <f t="shared" si="521"/>
        <v>Y</v>
      </c>
      <c r="O1761" s="1" t="str">
        <f t="shared" si="528"/>
        <v>Y</v>
      </c>
      <c r="P1761" s="1" t="str">
        <f t="shared" si="522"/>
        <v>Y</v>
      </c>
      <c r="Q1761" s="1" t="str">
        <f t="shared" si="518"/>
        <v>A</v>
      </c>
    </row>
    <row r="1762" spans="1:17" x14ac:dyDescent="0.3">
      <c r="A1762" s="1" t="str">
        <f t="shared" si="523"/>
        <v>R</v>
      </c>
      <c r="B1762" s="1" t="str">
        <f>"J0229"</f>
        <v>J0229</v>
      </c>
      <c r="C1762" s="1" t="str">
        <f>"신경행동검사(6종)"</f>
        <v>신경행동검사(6종)</v>
      </c>
      <c r="D1762" s="1" t="str">
        <f>"신경계 증상에 대한 평가 위해 신경행동검사 받으시기 바랍니다."</f>
        <v>신경계 증상에 대한 평가 위해 신경행동검사 받으시기 바랍니다.</v>
      </c>
      <c r="E1762" s="1" t="str">
        <f>""</f>
        <v/>
      </c>
      <c r="F1762" s="1" t="str">
        <f>""</f>
        <v/>
      </c>
      <c r="G1762" s="1" t="str">
        <f>"DISG"</f>
        <v>DISG</v>
      </c>
      <c r="H1762" s="1" t="str">
        <f>"REL21"</f>
        <v>REL21</v>
      </c>
      <c r="I1762" s="1" t="str">
        <f>""</f>
        <v/>
      </c>
      <c r="J1762" s="1" t="str">
        <f>"C37R"</f>
        <v>C37R</v>
      </c>
      <c r="K1762" s="1" t="str">
        <f>"C37R"</f>
        <v>C37R</v>
      </c>
      <c r="L1762" s="1" t="str">
        <f t="shared" si="520"/>
        <v>R</v>
      </c>
      <c r="M1762" s="1" t="str">
        <f>"T06"</f>
        <v>T06</v>
      </c>
      <c r="N1762" s="1" t="str">
        <f t="shared" si="521"/>
        <v>Y</v>
      </c>
      <c r="O1762" s="1" t="str">
        <f t="shared" si="528"/>
        <v>Y</v>
      </c>
      <c r="P1762" s="1" t="str">
        <f t="shared" si="522"/>
        <v>Y</v>
      </c>
      <c r="Q1762" s="1" t="str">
        <f t="shared" si="518"/>
        <v>A</v>
      </c>
    </row>
    <row r="1763" spans="1:17" x14ac:dyDescent="0.3">
      <c r="A1763" s="1" t="str">
        <f t="shared" si="523"/>
        <v>R</v>
      </c>
      <c r="B1763" s="1" t="str">
        <f>"J0231"</f>
        <v>J0231</v>
      </c>
      <c r="C1763" s="1" t="str">
        <f>"안과진료 요함"</f>
        <v>안과진료 요함</v>
      </c>
      <c r="D1763" s="1" t="str">
        <f>"안구증상에 대한 진료 및 정밀검사 요합니다."</f>
        <v>안구증상에 대한 진료 및 정밀검사 요합니다.</v>
      </c>
      <c r="E1763" s="1" t="str">
        <f>""</f>
        <v/>
      </c>
      <c r="F1763" s="1" t="str">
        <f>""</f>
        <v/>
      </c>
      <c r="G1763" s="1" t="str">
        <f>"DISH"</f>
        <v>DISH</v>
      </c>
      <c r="H1763" s="1" t="str">
        <f>"REL14"</f>
        <v>REL14</v>
      </c>
      <c r="I1763" s="1" t="str">
        <f>"N0240"</f>
        <v>N0240</v>
      </c>
      <c r="J1763" s="1" t="str">
        <f>"C38R"</f>
        <v>C38R</v>
      </c>
      <c r="K1763" s="1" t="str">
        <f>"C38R"</f>
        <v>C38R</v>
      </c>
      <c r="L1763" s="1" t="str">
        <f t="shared" si="520"/>
        <v>R</v>
      </c>
      <c r="M1763" s="1" t="str">
        <f>"T09"</f>
        <v>T09</v>
      </c>
      <c r="N1763" s="1" t="str">
        <f t="shared" si="521"/>
        <v>Y</v>
      </c>
      <c r="O1763" s="1" t="str">
        <f t="shared" si="528"/>
        <v>Y</v>
      </c>
      <c r="P1763" s="1" t="str">
        <f t="shared" si="522"/>
        <v>Y</v>
      </c>
      <c r="Q1763" s="1" t="str">
        <f t="shared" si="518"/>
        <v>A</v>
      </c>
    </row>
    <row r="1764" spans="1:17" x14ac:dyDescent="0.3">
      <c r="A1764" s="1" t="str">
        <f t="shared" si="523"/>
        <v>R</v>
      </c>
      <c r="B1764" s="1" t="str">
        <f>"J0282"</f>
        <v>J0282</v>
      </c>
      <c r="C1764" s="1" t="str">
        <f>"미각 이상(중금속 관련)"</f>
        <v>미각 이상(중금속 관련)</v>
      </c>
      <c r="D1764" s="1" t="str">
        <f>"중금속 노출과 관련한 미각 이상(금속 맛)일 가능성이 있으므로 추가검사 받으시기 바랍니다."</f>
        <v>중금속 노출과 관련한 미각 이상(금속 맛)일 가능성이 있으므로 추가검사 받으시기 바랍니다.</v>
      </c>
      <c r="E1764" s="1" t="str">
        <f>""</f>
        <v/>
      </c>
      <c r="F1764" s="1" t="str">
        <f>""</f>
        <v/>
      </c>
      <c r="G1764" s="1" t="str">
        <f>"DIS399"</f>
        <v>DIS399</v>
      </c>
      <c r="H1764" s="1" t="str">
        <f>"REL16"</f>
        <v>REL16</v>
      </c>
      <c r="I1764" s="1" t="str">
        <f>""</f>
        <v/>
      </c>
      <c r="J1764" s="1" t="str">
        <f t="shared" ref="J1764:K1766" si="530">"S01R"</f>
        <v>S01R</v>
      </c>
      <c r="K1764" s="1" t="str">
        <f t="shared" si="530"/>
        <v>S01R</v>
      </c>
      <c r="L1764" s="1" t="str">
        <f t="shared" si="520"/>
        <v>R</v>
      </c>
      <c r="M1764" s="1" t="str">
        <f>""</f>
        <v/>
      </c>
      <c r="N1764" s="1" t="str">
        <f t="shared" si="521"/>
        <v>Y</v>
      </c>
      <c r="O1764" s="1" t="str">
        <f t="shared" si="528"/>
        <v>Y</v>
      </c>
      <c r="P1764" s="1" t="str">
        <f t="shared" si="522"/>
        <v>Y</v>
      </c>
      <c r="Q1764" s="1" t="str">
        <f t="shared" si="518"/>
        <v>A</v>
      </c>
    </row>
    <row r="1765" spans="1:17" x14ac:dyDescent="0.3">
      <c r="A1765" s="1" t="str">
        <f t="shared" si="523"/>
        <v>R</v>
      </c>
      <c r="B1765" s="1" t="str">
        <f>"J0283"</f>
        <v>J0283</v>
      </c>
      <c r="C1765" s="1" t="str">
        <f>"직업성 안과질환 의심"</f>
        <v>직업성 안과질환 의심</v>
      </c>
      <c r="D1765" s="1" t="str">
        <f>"업무와 관련한 안과질환이 의심됩니다. 내원해서 재검을 받으세요."</f>
        <v>업무와 관련한 안과질환이 의심됩니다. 내원해서 재검을 받으세요.</v>
      </c>
      <c r="E1765" s="1" t="str">
        <f>""</f>
        <v/>
      </c>
      <c r="F1765" s="1" t="str">
        <f>"PTM02"</f>
        <v>PTM02</v>
      </c>
      <c r="G1765" s="1" t="str">
        <f>"DISH"</f>
        <v>DISH</v>
      </c>
      <c r="H1765" s="1" t="str">
        <f>"REL14"</f>
        <v>REL14</v>
      </c>
      <c r="I1765" s="1" t="str">
        <f>""</f>
        <v/>
      </c>
      <c r="J1765" s="1" t="str">
        <f t="shared" si="530"/>
        <v>S01R</v>
      </c>
      <c r="K1765" s="1" t="str">
        <f t="shared" si="530"/>
        <v>S01R</v>
      </c>
      <c r="L1765" s="1" t="str">
        <f t="shared" si="520"/>
        <v>R</v>
      </c>
      <c r="M1765" s="1" t="str">
        <f>"T09"</f>
        <v>T09</v>
      </c>
      <c r="N1765" s="1" t="str">
        <f t="shared" si="521"/>
        <v>Y</v>
      </c>
      <c r="O1765" s="1" t="str">
        <f t="shared" si="528"/>
        <v>Y</v>
      </c>
      <c r="P1765" s="1" t="str">
        <f t="shared" si="522"/>
        <v>Y</v>
      </c>
      <c r="Q1765" s="1" t="str">
        <f t="shared" si="518"/>
        <v>A</v>
      </c>
    </row>
    <row r="1766" spans="1:17" x14ac:dyDescent="0.3">
      <c r="A1766" s="1" t="str">
        <f t="shared" si="523"/>
        <v>R</v>
      </c>
      <c r="B1766" s="1" t="str">
        <f>"J0304"</f>
        <v>J0304</v>
      </c>
      <c r="C1766" s="1" t="str">
        <f>"혈뇨의심"</f>
        <v>혈뇨의심</v>
      </c>
      <c r="D1766" s="1" t="s">
        <v>501</v>
      </c>
      <c r="E1766" s="1" t="str">
        <f>""</f>
        <v/>
      </c>
      <c r="F1766" s="1" t="str">
        <f>""</f>
        <v/>
      </c>
      <c r="G1766" s="1" t="str">
        <f>"DISN"</f>
        <v>DISN</v>
      </c>
      <c r="H1766" s="1" t="str">
        <f>"REL09"</f>
        <v>REL09</v>
      </c>
      <c r="I1766" s="1" t="str">
        <f>""</f>
        <v/>
      </c>
      <c r="J1766" s="1" t="str">
        <f t="shared" si="530"/>
        <v>S01R</v>
      </c>
      <c r="K1766" s="1" t="str">
        <f t="shared" si="530"/>
        <v>S01R</v>
      </c>
      <c r="L1766" s="1" t="str">
        <f t="shared" si="520"/>
        <v>R</v>
      </c>
      <c r="M1766" s="1" t="str">
        <f>"T05"</f>
        <v>T05</v>
      </c>
      <c r="N1766" s="1" t="str">
        <f t="shared" si="521"/>
        <v>Y</v>
      </c>
      <c r="O1766" s="1" t="str">
        <f t="shared" si="528"/>
        <v>Y</v>
      </c>
      <c r="P1766" s="1" t="str">
        <f t="shared" si="522"/>
        <v>Y</v>
      </c>
      <c r="Q1766" s="1" t="str">
        <f t="shared" si="518"/>
        <v>A</v>
      </c>
    </row>
    <row r="1767" spans="1:17" x14ac:dyDescent="0.3">
      <c r="A1767" s="1" t="str">
        <f t="shared" si="523"/>
        <v>R</v>
      </c>
      <c r="B1767" s="1" t="str">
        <f>"J0311"</f>
        <v>J0311</v>
      </c>
      <c r="C1767" s="1" t="str">
        <f>"조혈기계 질환의심"</f>
        <v>조혈기계 질환의심</v>
      </c>
      <c r="D1767" s="1" t="str">
        <f>"백혈구수 감소를 보입니다. 정확한 진단 위하여 추가적인 재검사를 받으세요."</f>
        <v>백혈구수 감소를 보입니다. 정확한 진단 위하여 추가적인 재검사를 받으세요.</v>
      </c>
      <c r="E1767" s="1" t="str">
        <f>""</f>
        <v/>
      </c>
      <c r="F1767" s="1" t="str">
        <f>""</f>
        <v/>
      </c>
      <c r="G1767" s="1" t="str">
        <f>"DISD"</f>
        <v>DISD</v>
      </c>
      <c r="H1767" s="1" t="str">
        <f>"REL12"</f>
        <v>REL12</v>
      </c>
      <c r="I1767" s="1" t="str">
        <f>""</f>
        <v/>
      </c>
      <c r="J1767" s="1" t="str">
        <f>"C34R"</f>
        <v>C34R</v>
      </c>
      <c r="K1767" s="1" t="str">
        <f>"C34R"</f>
        <v>C34R</v>
      </c>
      <c r="L1767" s="1" t="str">
        <f t="shared" si="520"/>
        <v>R</v>
      </c>
      <c r="M1767" s="1" t="str">
        <f>"T01"</f>
        <v>T01</v>
      </c>
      <c r="N1767" s="1" t="str">
        <f t="shared" si="521"/>
        <v>Y</v>
      </c>
      <c r="O1767" s="1" t="str">
        <f t="shared" si="528"/>
        <v>Y</v>
      </c>
      <c r="P1767" s="1" t="str">
        <f t="shared" si="522"/>
        <v>Y</v>
      </c>
      <c r="Q1767" s="1" t="str">
        <f t="shared" si="518"/>
        <v>A</v>
      </c>
    </row>
    <row r="1768" spans="1:17" x14ac:dyDescent="0.3">
      <c r="A1768" s="1" t="str">
        <f t="shared" si="523"/>
        <v>R</v>
      </c>
      <c r="B1768" s="1" t="str">
        <f>"J0320"</f>
        <v>J0320</v>
      </c>
      <c r="C1768" s="1" t="str">
        <f>"이비인후과 진료 요함"</f>
        <v>이비인후과 진료 요함</v>
      </c>
      <c r="D1768" s="1" t="str">
        <f>"구강 및 비점막궤양 유무에 대한 이비인후과 진료를 요합니다."</f>
        <v>구강 및 비점막궤양 유무에 대한 이비인후과 진료를 요합니다.</v>
      </c>
      <c r="E1768" s="1" t="str">
        <f>""</f>
        <v/>
      </c>
      <c r="F1768" s="1" t="str">
        <f>""</f>
        <v/>
      </c>
      <c r="G1768" s="1" t="str">
        <f>"DISJ"</f>
        <v>DISJ</v>
      </c>
      <c r="H1768" s="1" t="str">
        <f>"REL31"</f>
        <v>REL31</v>
      </c>
      <c r="I1768" s="1" t="str">
        <f>""</f>
        <v/>
      </c>
      <c r="J1768" s="1" t="str">
        <f>"S01R"</f>
        <v>S01R</v>
      </c>
      <c r="K1768" s="1" t="str">
        <f>"S01R"</f>
        <v>S01R</v>
      </c>
      <c r="L1768" s="1" t="str">
        <f t="shared" si="520"/>
        <v>R</v>
      </c>
      <c r="M1768" s="1" t="str">
        <f>"T10"</f>
        <v>T10</v>
      </c>
      <c r="N1768" s="1" t="str">
        <f t="shared" si="521"/>
        <v>Y</v>
      </c>
      <c r="O1768" s="1" t="str">
        <f t="shared" si="528"/>
        <v>Y</v>
      </c>
      <c r="P1768" s="1" t="str">
        <f t="shared" si="522"/>
        <v>Y</v>
      </c>
      <c r="Q1768" s="1" t="str">
        <f t="shared" si="518"/>
        <v>A</v>
      </c>
    </row>
    <row r="1769" spans="1:17" x14ac:dyDescent="0.3">
      <c r="A1769" s="1" t="str">
        <f t="shared" si="523"/>
        <v>R</v>
      </c>
      <c r="B1769" s="1" t="str">
        <f>"J0491"</f>
        <v>J0491</v>
      </c>
      <c r="C1769" s="1" t="str">
        <f>"백혈구 증가 재검"</f>
        <v>백혈구 증가 재검</v>
      </c>
      <c r="D1769" s="1" t="str">
        <f>"혈액검사상 백혈구 증가 관찰됩니다. 재검을 받으세요"</f>
        <v>혈액검사상 백혈구 증가 관찰됩니다. 재검을 받으세요</v>
      </c>
      <c r="E1769" s="1" t="str">
        <f>""</f>
        <v/>
      </c>
      <c r="F1769" s="1" t="str">
        <f>""</f>
        <v/>
      </c>
      <c r="G1769" s="1" t="str">
        <f>"DISD"</f>
        <v>DISD</v>
      </c>
      <c r="H1769" s="1" t="str">
        <f>"REL12"</f>
        <v>REL12</v>
      </c>
      <c r="I1769" s="1" t="str">
        <f>""</f>
        <v/>
      </c>
      <c r="J1769" s="1" t="str">
        <f>"C34R"</f>
        <v>C34R</v>
      </c>
      <c r="K1769" s="1" t="str">
        <f>"C34R"</f>
        <v>C34R</v>
      </c>
      <c r="L1769" s="1" t="str">
        <f t="shared" si="520"/>
        <v>R</v>
      </c>
      <c r="M1769" s="1" t="str">
        <f>"T01"</f>
        <v>T01</v>
      </c>
      <c r="N1769" s="1" t="str">
        <f t="shared" si="521"/>
        <v>Y</v>
      </c>
      <c r="O1769" s="1" t="str">
        <f t="shared" si="528"/>
        <v>Y</v>
      </c>
      <c r="P1769" s="1" t="str">
        <f t="shared" si="522"/>
        <v>Y</v>
      </c>
      <c r="Q1769" s="1" t="str">
        <f t="shared" si="518"/>
        <v>A</v>
      </c>
    </row>
    <row r="1770" spans="1:17" x14ac:dyDescent="0.3">
      <c r="A1770" s="1" t="str">
        <f t="shared" si="523"/>
        <v>R</v>
      </c>
      <c r="B1770" s="1" t="str">
        <f>"J0506"</f>
        <v>J0506</v>
      </c>
      <c r="C1770" s="1" t="str">
        <f>"폐기능검사 - 측정불가"</f>
        <v>폐기능검사 - 측정불가</v>
      </c>
      <c r="D1770" s="1" t="str">
        <f>"2차검사(재검) - 폐기능검사 외 추가항목"</f>
        <v>2차검사(재검) - 폐기능검사 외 추가항목</v>
      </c>
      <c r="E1770" s="1" t="str">
        <f>""</f>
        <v/>
      </c>
      <c r="F1770" s="1" t="str">
        <f>""</f>
        <v/>
      </c>
      <c r="G1770" s="1" t="str">
        <f t="shared" ref="G1770:G1783" si="531">"DISJ"</f>
        <v>DISJ</v>
      </c>
      <c r="H1770" s="1" t="str">
        <f t="shared" ref="H1770:H1783" si="532">"REL02"</f>
        <v>REL02</v>
      </c>
      <c r="I1770" s="1" t="str">
        <f>""</f>
        <v/>
      </c>
      <c r="J1770" s="1" t="str">
        <f>"C40C"</f>
        <v>C40C</v>
      </c>
      <c r="K1770" s="1" t="str">
        <f>"C40C"</f>
        <v>C40C</v>
      </c>
      <c r="L1770" s="1" t="str">
        <f t="shared" si="520"/>
        <v>R</v>
      </c>
      <c r="M1770" s="1" t="str">
        <f t="shared" ref="M1770:M1783" si="533">"T04"</f>
        <v>T04</v>
      </c>
      <c r="N1770" s="1" t="str">
        <f t="shared" si="521"/>
        <v>Y</v>
      </c>
      <c r="O1770" s="1" t="str">
        <f t="shared" si="528"/>
        <v>Y</v>
      </c>
      <c r="P1770" s="1" t="str">
        <f t="shared" si="522"/>
        <v>Y</v>
      </c>
      <c r="Q1770" s="1" t="str">
        <f t="shared" si="518"/>
        <v>A</v>
      </c>
    </row>
    <row r="1771" spans="1:17" x14ac:dyDescent="0.3">
      <c r="A1771" s="1" t="str">
        <f t="shared" si="523"/>
        <v>R</v>
      </c>
      <c r="B1771" s="1" t="str">
        <f>"JIA03"</f>
        <v>JIA03</v>
      </c>
      <c r="C1771" s="1" t="str">
        <f>"폐기능 검사 이상-부적절한 검사"</f>
        <v>폐기능 검사 이상-부적절한 검사</v>
      </c>
      <c r="D1771" s="1" t="str">
        <f>"폐기능 검사를 제대로 수행하지 못하여 다른 방법으로 검사가 필요합니다. 2차검사를 받으시기 바랍니다."</f>
        <v>폐기능 검사를 제대로 수행하지 못하여 다른 방법으로 검사가 필요합니다. 2차검사를 받으시기 바랍니다.</v>
      </c>
      <c r="E1771" s="1" t="str">
        <f>""</f>
        <v/>
      </c>
      <c r="F1771" s="1" t="str">
        <f>""</f>
        <v/>
      </c>
      <c r="G1771" s="1" t="str">
        <f t="shared" si="531"/>
        <v>DISJ</v>
      </c>
      <c r="H1771" s="1" t="str">
        <f t="shared" si="532"/>
        <v>REL02</v>
      </c>
      <c r="I1771" s="1" t="str">
        <f>""</f>
        <v/>
      </c>
      <c r="J1771" s="1" t="str">
        <f t="shared" ref="J1771:K1783" si="534">"C40R"</f>
        <v>C40R</v>
      </c>
      <c r="K1771" s="1" t="str">
        <f t="shared" si="534"/>
        <v>C40R</v>
      </c>
      <c r="L1771" s="1" t="str">
        <f t="shared" si="520"/>
        <v>R</v>
      </c>
      <c r="M1771" s="1" t="str">
        <f t="shared" si="533"/>
        <v>T04</v>
      </c>
      <c r="N1771" s="1" t="str">
        <f t="shared" si="521"/>
        <v>Y</v>
      </c>
      <c r="O1771" s="1" t="str">
        <f t="shared" si="528"/>
        <v>Y</v>
      </c>
      <c r="P1771" s="1" t="str">
        <f t="shared" si="522"/>
        <v>Y</v>
      </c>
      <c r="Q1771" s="1" t="str">
        <f t="shared" si="518"/>
        <v>A</v>
      </c>
    </row>
    <row r="1772" spans="1:17" x14ac:dyDescent="0.3">
      <c r="A1772" s="1" t="str">
        <f t="shared" si="523"/>
        <v>R</v>
      </c>
      <c r="B1772" s="1" t="str">
        <f>"JIA04"</f>
        <v>JIA04</v>
      </c>
      <c r="C1772" s="1" t="str">
        <f>"폐기능 검사 이상-부적절한 검사"</f>
        <v>폐기능 검사 이상-부적절한 검사</v>
      </c>
      <c r="D1772" s="1" t="str">
        <f>"폐기능 검사를 제대로 수행하지 못하여 다른 방법으로 검사가 필요합니다. 2차검사를 받으시기 바랍니다."</f>
        <v>폐기능 검사를 제대로 수행하지 못하여 다른 방법으로 검사가 필요합니다. 2차검사를 받으시기 바랍니다.</v>
      </c>
      <c r="E1772" s="1" t="str">
        <f>""</f>
        <v/>
      </c>
      <c r="F1772" s="1" t="str">
        <f>""</f>
        <v/>
      </c>
      <c r="G1772" s="1" t="str">
        <f t="shared" si="531"/>
        <v>DISJ</v>
      </c>
      <c r="H1772" s="1" t="str">
        <f t="shared" si="532"/>
        <v>REL02</v>
      </c>
      <c r="I1772" s="1" t="str">
        <f>""</f>
        <v/>
      </c>
      <c r="J1772" s="1" t="str">
        <f t="shared" si="534"/>
        <v>C40R</v>
      </c>
      <c r="K1772" s="1" t="str">
        <f t="shared" si="534"/>
        <v>C40R</v>
      </c>
      <c r="L1772" s="1" t="str">
        <f t="shared" si="520"/>
        <v>R</v>
      </c>
      <c r="M1772" s="1" t="str">
        <f t="shared" si="533"/>
        <v>T04</v>
      </c>
      <c r="N1772" s="1" t="str">
        <f t="shared" si="521"/>
        <v>Y</v>
      </c>
      <c r="O1772" s="1" t="str">
        <f t="shared" si="528"/>
        <v>Y</v>
      </c>
      <c r="P1772" s="1" t="str">
        <f t="shared" si="522"/>
        <v>Y</v>
      </c>
      <c r="Q1772" s="1" t="str">
        <f t="shared" si="518"/>
        <v>A</v>
      </c>
    </row>
    <row r="1773" spans="1:17" x14ac:dyDescent="0.3">
      <c r="A1773" s="1" t="str">
        <f t="shared" si="523"/>
        <v>R</v>
      </c>
      <c r="B1773" s="1" t="str">
        <f>"JIA07"</f>
        <v>JIA07</v>
      </c>
      <c r="C1773" s="1" t="str">
        <f>"폐기능 검사 이상-부적절한 검사"</f>
        <v>폐기능 검사 이상-부적절한 검사</v>
      </c>
      <c r="D1773" s="1" t="str">
        <f>"폐기능 검사를 제대로 수행하지 못하여 다른 방법으로 검사가 필요합니다. 2차검사를 받으시기 바랍니다."</f>
        <v>폐기능 검사를 제대로 수행하지 못하여 다른 방법으로 검사가 필요합니다. 2차검사를 받으시기 바랍니다.</v>
      </c>
      <c r="E1773" s="1" t="str">
        <f>""</f>
        <v/>
      </c>
      <c r="F1773" s="1" t="str">
        <f>""</f>
        <v/>
      </c>
      <c r="G1773" s="1" t="str">
        <f t="shared" si="531"/>
        <v>DISJ</v>
      </c>
      <c r="H1773" s="1" t="str">
        <f t="shared" si="532"/>
        <v>REL02</v>
      </c>
      <c r="I1773" s="1" t="str">
        <f>""</f>
        <v/>
      </c>
      <c r="J1773" s="1" t="str">
        <f t="shared" si="534"/>
        <v>C40R</v>
      </c>
      <c r="K1773" s="1" t="str">
        <f t="shared" si="534"/>
        <v>C40R</v>
      </c>
      <c r="L1773" s="1" t="str">
        <f t="shared" si="520"/>
        <v>R</v>
      </c>
      <c r="M1773" s="1" t="str">
        <f t="shared" si="533"/>
        <v>T04</v>
      </c>
      <c r="N1773" s="1" t="str">
        <f t="shared" si="521"/>
        <v>Y</v>
      </c>
      <c r="O1773" s="1" t="str">
        <f t="shared" si="528"/>
        <v>Y</v>
      </c>
      <c r="P1773" s="1" t="str">
        <f t="shared" si="522"/>
        <v>Y</v>
      </c>
      <c r="Q1773" s="1" t="str">
        <f t="shared" si="518"/>
        <v>A</v>
      </c>
    </row>
    <row r="1774" spans="1:17" x14ac:dyDescent="0.3">
      <c r="A1774" s="1" t="str">
        <f t="shared" ref="A1774:A1805" si="535">"R"</f>
        <v>R</v>
      </c>
      <c r="B1774" s="1" t="str">
        <f>"JIA08"</f>
        <v>JIA08</v>
      </c>
      <c r="C1774" s="1" t="str">
        <f>"폐기능 검사 이상-부적절한 검사"</f>
        <v>폐기능 검사 이상-부적절한 검사</v>
      </c>
      <c r="D1774" s="1" t="str">
        <f>"폐기능 검사를 제대로 수행하지 못하여 다른 방법으로 검사가 필요합니다. 2차검사를 받으시기 바랍니다."</f>
        <v>폐기능 검사를 제대로 수행하지 못하여 다른 방법으로 검사가 필요합니다. 2차검사를 받으시기 바랍니다.</v>
      </c>
      <c r="E1774" s="1" t="str">
        <f>""</f>
        <v/>
      </c>
      <c r="F1774" s="1" t="str">
        <f>""</f>
        <v/>
      </c>
      <c r="G1774" s="1" t="str">
        <f t="shared" si="531"/>
        <v>DISJ</v>
      </c>
      <c r="H1774" s="1" t="str">
        <f t="shared" si="532"/>
        <v>REL02</v>
      </c>
      <c r="I1774" s="1" t="str">
        <f>""</f>
        <v/>
      </c>
      <c r="J1774" s="1" t="str">
        <f t="shared" si="534"/>
        <v>C40R</v>
      </c>
      <c r="K1774" s="1" t="str">
        <f t="shared" si="534"/>
        <v>C40R</v>
      </c>
      <c r="L1774" s="1" t="str">
        <f t="shared" si="520"/>
        <v>R</v>
      </c>
      <c r="M1774" s="1" t="str">
        <f t="shared" si="533"/>
        <v>T04</v>
      </c>
      <c r="N1774" s="1" t="str">
        <f t="shared" si="521"/>
        <v>Y</v>
      </c>
      <c r="O1774" s="1" t="str">
        <f t="shared" si="528"/>
        <v>Y</v>
      </c>
      <c r="P1774" s="1" t="str">
        <f t="shared" si="522"/>
        <v>Y</v>
      </c>
      <c r="Q1774" s="1" t="str">
        <f t="shared" si="518"/>
        <v>A</v>
      </c>
    </row>
    <row r="1775" spans="1:17" x14ac:dyDescent="0.3">
      <c r="A1775" s="1" t="str">
        <f t="shared" si="535"/>
        <v>R</v>
      </c>
      <c r="B1775" s="1" t="str">
        <f>"JM02"</f>
        <v>JM02</v>
      </c>
      <c r="C1775" s="1" t="str">
        <f>"폐기능 검사-혼합성 폐기능 저하"</f>
        <v>폐기능 검사-혼합성 폐기능 저하</v>
      </c>
      <c r="D1775" s="1" t="str">
        <f>"폐기능 검사 이상소견(혼합성 폐기능 저하)이 있어 2차 검사(재검)가 필요합니다."</f>
        <v>폐기능 검사 이상소견(혼합성 폐기능 저하)이 있어 2차 검사(재검)가 필요합니다.</v>
      </c>
      <c r="E1775" s="1" t="str">
        <f>""</f>
        <v/>
      </c>
      <c r="F1775" s="1" t="str">
        <f>""</f>
        <v/>
      </c>
      <c r="G1775" s="1" t="str">
        <f t="shared" si="531"/>
        <v>DISJ</v>
      </c>
      <c r="H1775" s="1" t="str">
        <f t="shared" si="532"/>
        <v>REL02</v>
      </c>
      <c r="I1775" s="1" t="str">
        <f>""</f>
        <v/>
      </c>
      <c r="J1775" s="1" t="str">
        <f t="shared" si="534"/>
        <v>C40R</v>
      </c>
      <c r="K1775" s="1" t="str">
        <f t="shared" si="534"/>
        <v>C40R</v>
      </c>
      <c r="L1775" s="1" t="str">
        <f t="shared" si="520"/>
        <v>R</v>
      </c>
      <c r="M1775" s="1" t="str">
        <f t="shared" si="533"/>
        <v>T04</v>
      </c>
      <c r="N1775" s="1" t="str">
        <f t="shared" si="521"/>
        <v>Y</v>
      </c>
      <c r="O1775" s="1" t="str">
        <f t="shared" si="528"/>
        <v>Y</v>
      </c>
      <c r="P1775" s="1" t="str">
        <f t="shared" si="522"/>
        <v>Y</v>
      </c>
      <c r="Q1775" s="1" t="str">
        <f t="shared" si="518"/>
        <v>A</v>
      </c>
    </row>
    <row r="1776" spans="1:17" x14ac:dyDescent="0.3">
      <c r="A1776" s="1" t="str">
        <f t="shared" si="535"/>
        <v>R</v>
      </c>
      <c r="B1776" s="1" t="str">
        <f>"JM05"</f>
        <v>JM05</v>
      </c>
      <c r="C1776" s="1" t="str">
        <f>"폐기능 검사-혼합성 폐기능 저하"</f>
        <v>폐기능 검사-혼합성 폐기능 저하</v>
      </c>
      <c r="D1776" s="1" t="str">
        <f>"폐기능 검사 이상소견(혼합성 폐기능 저하)이 있어 2차 검사(재검)가 필요합니다."</f>
        <v>폐기능 검사 이상소견(혼합성 폐기능 저하)이 있어 2차 검사(재검)가 필요합니다.</v>
      </c>
      <c r="E1776" s="1" t="str">
        <f>""</f>
        <v/>
      </c>
      <c r="F1776" s="1" t="str">
        <f>""</f>
        <v/>
      </c>
      <c r="G1776" s="1" t="str">
        <f t="shared" si="531"/>
        <v>DISJ</v>
      </c>
      <c r="H1776" s="1" t="str">
        <f t="shared" si="532"/>
        <v>REL02</v>
      </c>
      <c r="I1776" s="1" t="str">
        <f>""</f>
        <v/>
      </c>
      <c r="J1776" s="1" t="str">
        <f t="shared" si="534"/>
        <v>C40R</v>
      </c>
      <c r="K1776" s="1" t="str">
        <f t="shared" si="534"/>
        <v>C40R</v>
      </c>
      <c r="L1776" s="1" t="str">
        <f t="shared" si="520"/>
        <v>R</v>
      </c>
      <c r="M1776" s="1" t="str">
        <f t="shared" si="533"/>
        <v>T04</v>
      </c>
      <c r="N1776" s="1" t="str">
        <f t="shared" si="521"/>
        <v>Y</v>
      </c>
      <c r="O1776" s="1" t="str">
        <f t="shared" si="528"/>
        <v>Y</v>
      </c>
      <c r="P1776" s="1" t="str">
        <f t="shared" si="522"/>
        <v>Y</v>
      </c>
      <c r="Q1776" s="1" t="str">
        <f t="shared" si="518"/>
        <v>A</v>
      </c>
    </row>
    <row r="1777" spans="1:17" x14ac:dyDescent="0.3">
      <c r="A1777" s="1" t="str">
        <f t="shared" si="535"/>
        <v>R</v>
      </c>
      <c r="B1777" s="1" t="str">
        <f>"JM06"</f>
        <v>JM06</v>
      </c>
      <c r="C1777" s="1" t="str">
        <f>"폐기능 검사-혼합성 폐기능 저하"</f>
        <v>폐기능 검사-혼합성 폐기능 저하</v>
      </c>
      <c r="D1777" s="1" t="str">
        <f>"폐기능 검사 이상소견(혼합성 폐기능 저하)이 있어 2차 검사(재검)가 필요합니다."</f>
        <v>폐기능 검사 이상소견(혼합성 폐기능 저하)이 있어 2차 검사(재검)가 필요합니다.</v>
      </c>
      <c r="E1777" s="1" t="str">
        <f>""</f>
        <v/>
      </c>
      <c r="F1777" s="1" t="str">
        <f>""</f>
        <v/>
      </c>
      <c r="G1777" s="1" t="str">
        <f t="shared" si="531"/>
        <v>DISJ</v>
      </c>
      <c r="H1777" s="1" t="str">
        <f t="shared" si="532"/>
        <v>REL02</v>
      </c>
      <c r="I1777" s="1" t="str">
        <f>""</f>
        <v/>
      </c>
      <c r="J1777" s="1" t="str">
        <f t="shared" si="534"/>
        <v>C40R</v>
      </c>
      <c r="K1777" s="1" t="str">
        <f t="shared" si="534"/>
        <v>C40R</v>
      </c>
      <c r="L1777" s="1" t="str">
        <f t="shared" si="520"/>
        <v>R</v>
      </c>
      <c r="M1777" s="1" t="str">
        <f t="shared" si="533"/>
        <v>T04</v>
      </c>
      <c r="N1777" s="1" t="str">
        <f t="shared" si="521"/>
        <v>Y</v>
      </c>
      <c r="O1777" s="1" t="str">
        <f t="shared" si="528"/>
        <v>Y</v>
      </c>
      <c r="P1777" s="1" t="str">
        <f t="shared" si="522"/>
        <v>Y</v>
      </c>
      <c r="Q1777" s="1" t="str">
        <f t="shared" si="518"/>
        <v>A</v>
      </c>
    </row>
    <row r="1778" spans="1:17" x14ac:dyDescent="0.3">
      <c r="A1778" s="1" t="str">
        <f t="shared" si="535"/>
        <v>R</v>
      </c>
      <c r="B1778" s="1" t="str">
        <f>"JO02"</f>
        <v>JO02</v>
      </c>
      <c r="C1778" s="1" t="str">
        <f>"폐기능 검사-폐쇄성 폐기능 저하"</f>
        <v>폐기능 검사-폐쇄성 폐기능 저하</v>
      </c>
      <c r="D1778" s="1" t="str">
        <f>"폐기능 검사 이상소견(폐쇄성 폐기능 저하)이 있어 2차 검사(재검)가 필요합니다."</f>
        <v>폐기능 검사 이상소견(폐쇄성 폐기능 저하)이 있어 2차 검사(재검)가 필요합니다.</v>
      </c>
      <c r="E1778" s="1" t="str">
        <f>""</f>
        <v/>
      </c>
      <c r="F1778" s="1" t="str">
        <f>""</f>
        <v/>
      </c>
      <c r="G1778" s="1" t="str">
        <f t="shared" si="531"/>
        <v>DISJ</v>
      </c>
      <c r="H1778" s="1" t="str">
        <f t="shared" si="532"/>
        <v>REL02</v>
      </c>
      <c r="I1778" s="1" t="str">
        <f>""</f>
        <v/>
      </c>
      <c r="J1778" s="1" t="str">
        <f t="shared" si="534"/>
        <v>C40R</v>
      </c>
      <c r="K1778" s="1" t="str">
        <f t="shared" si="534"/>
        <v>C40R</v>
      </c>
      <c r="L1778" s="1" t="str">
        <f t="shared" si="520"/>
        <v>R</v>
      </c>
      <c r="M1778" s="1" t="str">
        <f t="shared" si="533"/>
        <v>T04</v>
      </c>
      <c r="N1778" s="1" t="str">
        <f t="shared" si="521"/>
        <v>Y</v>
      </c>
      <c r="O1778" s="1" t="str">
        <f t="shared" si="528"/>
        <v>Y</v>
      </c>
      <c r="P1778" s="1" t="str">
        <f t="shared" si="522"/>
        <v>Y</v>
      </c>
      <c r="Q1778" s="1" t="str">
        <f t="shared" si="518"/>
        <v>A</v>
      </c>
    </row>
    <row r="1779" spans="1:17" x14ac:dyDescent="0.3">
      <c r="A1779" s="1" t="str">
        <f t="shared" si="535"/>
        <v>R</v>
      </c>
      <c r="B1779" s="1" t="str">
        <f>"JO05"</f>
        <v>JO05</v>
      </c>
      <c r="C1779" s="1" t="str">
        <f>"폐기능 검사-폐쇄성 폐기능 저하"</f>
        <v>폐기능 검사-폐쇄성 폐기능 저하</v>
      </c>
      <c r="D1779" s="1" t="str">
        <f>"폐기능 검사 이상소견(폐쇄성 폐기능 저하)이 있어 2차 검사(재검)가 필요합니다."</f>
        <v>폐기능 검사 이상소견(폐쇄성 폐기능 저하)이 있어 2차 검사(재검)가 필요합니다.</v>
      </c>
      <c r="E1779" s="1" t="str">
        <f>""</f>
        <v/>
      </c>
      <c r="F1779" s="1" t="str">
        <f>""</f>
        <v/>
      </c>
      <c r="G1779" s="1" t="str">
        <f t="shared" si="531"/>
        <v>DISJ</v>
      </c>
      <c r="H1779" s="1" t="str">
        <f t="shared" si="532"/>
        <v>REL02</v>
      </c>
      <c r="I1779" s="1" t="str">
        <f>""</f>
        <v/>
      </c>
      <c r="J1779" s="1" t="str">
        <f t="shared" si="534"/>
        <v>C40R</v>
      </c>
      <c r="K1779" s="1" t="str">
        <f t="shared" si="534"/>
        <v>C40R</v>
      </c>
      <c r="L1779" s="1" t="str">
        <f t="shared" si="520"/>
        <v>R</v>
      </c>
      <c r="M1779" s="1" t="str">
        <f t="shared" si="533"/>
        <v>T04</v>
      </c>
      <c r="N1779" s="1" t="str">
        <f t="shared" si="521"/>
        <v>Y</v>
      </c>
      <c r="O1779" s="1" t="str">
        <f t="shared" si="528"/>
        <v>Y</v>
      </c>
      <c r="P1779" s="1" t="str">
        <f t="shared" si="522"/>
        <v>Y</v>
      </c>
      <c r="Q1779" s="1" t="str">
        <f t="shared" si="518"/>
        <v>A</v>
      </c>
    </row>
    <row r="1780" spans="1:17" x14ac:dyDescent="0.3">
      <c r="A1780" s="1" t="str">
        <f t="shared" si="535"/>
        <v>R</v>
      </c>
      <c r="B1780" s="1" t="str">
        <f>"JO06"</f>
        <v>JO06</v>
      </c>
      <c r="C1780" s="1" t="str">
        <f>"폐기능 검사-폐쇄성 폐기능 저하"</f>
        <v>폐기능 검사-폐쇄성 폐기능 저하</v>
      </c>
      <c r="D1780" s="1" t="str">
        <f>"폐기능 검사 이상소견(폐쇄성 폐기능 저하)이 있어 2차 검사(재검)가 필요합니다."</f>
        <v>폐기능 검사 이상소견(폐쇄성 폐기능 저하)이 있어 2차 검사(재검)가 필요합니다.</v>
      </c>
      <c r="E1780" s="1" t="str">
        <f>""</f>
        <v/>
      </c>
      <c r="F1780" s="1" t="str">
        <f>""</f>
        <v/>
      </c>
      <c r="G1780" s="1" t="str">
        <f t="shared" si="531"/>
        <v>DISJ</v>
      </c>
      <c r="H1780" s="1" t="str">
        <f t="shared" si="532"/>
        <v>REL02</v>
      </c>
      <c r="I1780" s="1" t="str">
        <f>""</f>
        <v/>
      </c>
      <c r="J1780" s="1" t="str">
        <f t="shared" si="534"/>
        <v>C40R</v>
      </c>
      <c r="K1780" s="1" t="str">
        <f t="shared" si="534"/>
        <v>C40R</v>
      </c>
      <c r="L1780" s="1" t="str">
        <f t="shared" si="520"/>
        <v>R</v>
      </c>
      <c r="M1780" s="1" t="str">
        <f t="shared" si="533"/>
        <v>T04</v>
      </c>
      <c r="N1780" s="1" t="str">
        <f t="shared" si="521"/>
        <v>Y</v>
      </c>
      <c r="O1780" s="1" t="str">
        <f t="shared" si="528"/>
        <v>Y</v>
      </c>
      <c r="P1780" s="1" t="str">
        <f t="shared" si="522"/>
        <v>Y</v>
      </c>
      <c r="Q1780" s="1" t="str">
        <f t="shared" si="518"/>
        <v>A</v>
      </c>
    </row>
    <row r="1781" spans="1:17" x14ac:dyDescent="0.3">
      <c r="A1781" s="1" t="str">
        <f t="shared" si="535"/>
        <v>R</v>
      </c>
      <c r="B1781" s="1" t="str">
        <f>"JR02"</f>
        <v>JR02</v>
      </c>
      <c r="C1781" s="1" t="str">
        <f>"폐기능 검사-제한성 폐기능 저하"</f>
        <v>폐기능 검사-제한성 폐기능 저하</v>
      </c>
      <c r="D1781" s="1" t="str">
        <f>"폐기능 검사 이상소견(제한성 폐기능 저하)이 있어 2차 검사(재검)가 필요합니다."</f>
        <v>폐기능 검사 이상소견(제한성 폐기능 저하)이 있어 2차 검사(재검)가 필요합니다.</v>
      </c>
      <c r="E1781" s="1" t="str">
        <f>""</f>
        <v/>
      </c>
      <c r="F1781" s="1" t="str">
        <f>""</f>
        <v/>
      </c>
      <c r="G1781" s="1" t="str">
        <f t="shared" si="531"/>
        <v>DISJ</v>
      </c>
      <c r="H1781" s="1" t="str">
        <f t="shared" si="532"/>
        <v>REL02</v>
      </c>
      <c r="I1781" s="1" t="str">
        <f>""</f>
        <v/>
      </c>
      <c r="J1781" s="1" t="str">
        <f t="shared" si="534"/>
        <v>C40R</v>
      </c>
      <c r="K1781" s="1" t="str">
        <f t="shared" si="534"/>
        <v>C40R</v>
      </c>
      <c r="L1781" s="1" t="str">
        <f t="shared" si="520"/>
        <v>R</v>
      </c>
      <c r="M1781" s="1" t="str">
        <f t="shared" si="533"/>
        <v>T04</v>
      </c>
      <c r="N1781" s="1" t="str">
        <f t="shared" si="521"/>
        <v>Y</v>
      </c>
      <c r="O1781" s="1" t="str">
        <f t="shared" si="528"/>
        <v>Y</v>
      </c>
      <c r="P1781" s="1" t="str">
        <f t="shared" si="522"/>
        <v>Y</v>
      </c>
      <c r="Q1781" s="1" t="str">
        <f t="shared" si="518"/>
        <v>A</v>
      </c>
    </row>
    <row r="1782" spans="1:17" x14ac:dyDescent="0.3">
      <c r="A1782" s="1" t="str">
        <f t="shared" si="535"/>
        <v>R</v>
      </c>
      <c r="B1782" s="1" t="str">
        <f>"JR05"</f>
        <v>JR05</v>
      </c>
      <c r="C1782" s="1" t="str">
        <f>"폐기능 검사-제한성 폐기능 저하"</f>
        <v>폐기능 검사-제한성 폐기능 저하</v>
      </c>
      <c r="D1782" s="1" t="str">
        <f>"폐기능 검사 이상소견(제한성 폐기능 저하)이 있어 2차 검사(재검)가 필요합니다."</f>
        <v>폐기능 검사 이상소견(제한성 폐기능 저하)이 있어 2차 검사(재검)가 필요합니다.</v>
      </c>
      <c r="E1782" s="1" t="str">
        <f>""</f>
        <v/>
      </c>
      <c r="F1782" s="1" t="str">
        <f>""</f>
        <v/>
      </c>
      <c r="G1782" s="1" t="str">
        <f t="shared" si="531"/>
        <v>DISJ</v>
      </c>
      <c r="H1782" s="1" t="str">
        <f t="shared" si="532"/>
        <v>REL02</v>
      </c>
      <c r="I1782" s="1" t="str">
        <f>""</f>
        <v/>
      </c>
      <c r="J1782" s="1" t="str">
        <f t="shared" si="534"/>
        <v>C40R</v>
      </c>
      <c r="K1782" s="1" t="str">
        <f t="shared" si="534"/>
        <v>C40R</v>
      </c>
      <c r="L1782" s="1" t="str">
        <f t="shared" si="520"/>
        <v>R</v>
      </c>
      <c r="M1782" s="1" t="str">
        <f t="shared" si="533"/>
        <v>T04</v>
      </c>
      <c r="N1782" s="1" t="str">
        <f t="shared" si="521"/>
        <v>Y</v>
      </c>
      <c r="O1782" s="1" t="str">
        <f t="shared" ref="O1782:O1806" si="536">"Y"</f>
        <v>Y</v>
      </c>
      <c r="P1782" s="1" t="str">
        <f t="shared" si="522"/>
        <v>Y</v>
      </c>
      <c r="Q1782" s="1" t="str">
        <f t="shared" si="518"/>
        <v>A</v>
      </c>
    </row>
    <row r="1783" spans="1:17" x14ac:dyDescent="0.3">
      <c r="A1783" s="1" t="str">
        <f t="shared" si="535"/>
        <v>R</v>
      </c>
      <c r="B1783" s="1" t="str">
        <f>"JR06"</f>
        <v>JR06</v>
      </c>
      <c r="C1783" s="1" t="str">
        <f>"폐기능 검사-제한성 폐기능 저하"</f>
        <v>폐기능 검사-제한성 폐기능 저하</v>
      </c>
      <c r="D1783" s="1" t="str">
        <f>"폐기능 검사 이상소견(제한성 폐기능 저하)이 있어 2차 검사(재검)가 필요합니다."</f>
        <v>폐기능 검사 이상소견(제한성 폐기능 저하)이 있어 2차 검사(재검)가 필요합니다.</v>
      </c>
      <c r="E1783" s="1" t="str">
        <f>""</f>
        <v/>
      </c>
      <c r="F1783" s="1" t="str">
        <f>""</f>
        <v/>
      </c>
      <c r="G1783" s="1" t="str">
        <f t="shared" si="531"/>
        <v>DISJ</v>
      </c>
      <c r="H1783" s="1" t="str">
        <f t="shared" si="532"/>
        <v>REL02</v>
      </c>
      <c r="I1783" s="1" t="str">
        <f>""</f>
        <v/>
      </c>
      <c r="J1783" s="1" t="str">
        <f t="shared" si="534"/>
        <v>C40R</v>
      </c>
      <c r="K1783" s="1" t="str">
        <f t="shared" si="534"/>
        <v>C40R</v>
      </c>
      <c r="L1783" s="1" t="str">
        <f t="shared" si="520"/>
        <v>R</v>
      </c>
      <c r="M1783" s="1" t="str">
        <f t="shared" si="533"/>
        <v>T04</v>
      </c>
      <c r="N1783" s="1" t="str">
        <f t="shared" si="521"/>
        <v>Y</v>
      </c>
      <c r="O1783" s="1" t="str">
        <f t="shared" si="536"/>
        <v>Y</v>
      </c>
      <c r="P1783" s="1" t="str">
        <f t="shared" si="522"/>
        <v>Y</v>
      </c>
      <c r="Q1783" s="1" t="str">
        <f t="shared" si="518"/>
        <v>A</v>
      </c>
    </row>
    <row r="1784" spans="1:17" x14ac:dyDescent="0.3">
      <c r="A1784" s="1" t="str">
        <f t="shared" si="535"/>
        <v>R</v>
      </c>
      <c r="B1784" s="1" t="str">
        <f>"L221001"</f>
        <v>L221001</v>
      </c>
      <c r="C1784" s="1" t="str">
        <f>"알부민감소"</f>
        <v>알부민감소</v>
      </c>
      <c r="D1784" s="1" t="s">
        <v>502</v>
      </c>
      <c r="E1784" s="1" t="str">
        <f>""</f>
        <v/>
      </c>
      <c r="F1784" s="1" t="str">
        <f>""</f>
        <v/>
      </c>
      <c r="G1784" s="1" t="str">
        <f>""</f>
        <v/>
      </c>
      <c r="H1784" s="1" t="str">
        <f>""</f>
        <v/>
      </c>
      <c r="I1784" s="1" t="str">
        <f>""</f>
        <v/>
      </c>
      <c r="J1784" s="1" t="str">
        <f>""</f>
        <v/>
      </c>
      <c r="K1784" s="1" t="str">
        <f>""</f>
        <v/>
      </c>
      <c r="L1784" s="1" t="str">
        <f t="shared" si="520"/>
        <v>R</v>
      </c>
      <c r="M1784" s="1" t="str">
        <f>""</f>
        <v/>
      </c>
      <c r="N1784" s="1" t="str">
        <f t="shared" si="521"/>
        <v>Y</v>
      </c>
      <c r="O1784" s="1" t="str">
        <f t="shared" si="536"/>
        <v>Y</v>
      </c>
      <c r="P1784" s="1" t="str">
        <f t="shared" si="522"/>
        <v>Y</v>
      </c>
      <c r="Q1784" s="1" t="str">
        <f t="shared" si="518"/>
        <v>A</v>
      </c>
    </row>
    <row r="1785" spans="1:17" x14ac:dyDescent="0.3">
      <c r="A1785" s="1" t="str">
        <f t="shared" si="535"/>
        <v>R</v>
      </c>
      <c r="B1785" s="1" t="str">
        <f>"L221002"</f>
        <v>L221002</v>
      </c>
      <c r="C1785" s="1" t="str">
        <f>"총단백량 증가"</f>
        <v>총단백량 증가</v>
      </c>
      <c r="D1785" s="1" t="s">
        <v>503</v>
      </c>
      <c r="E1785" s="1" t="str">
        <f>""</f>
        <v/>
      </c>
      <c r="F1785" s="1" t="str">
        <f>""</f>
        <v/>
      </c>
      <c r="G1785" s="1" t="str">
        <f>""</f>
        <v/>
      </c>
      <c r="H1785" s="1" t="str">
        <f>""</f>
        <v/>
      </c>
      <c r="I1785" s="1" t="str">
        <f>""</f>
        <v/>
      </c>
      <c r="J1785" s="1" t="str">
        <f>""</f>
        <v/>
      </c>
      <c r="K1785" s="1" t="str">
        <f>""</f>
        <v/>
      </c>
      <c r="L1785" s="1" t="str">
        <f t="shared" si="520"/>
        <v>R</v>
      </c>
      <c r="M1785" s="1" t="str">
        <f>""</f>
        <v/>
      </c>
      <c r="N1785" s="1" t="str">
        <f t="shared" si="521"/>
        <v>Y</v>
      </c>
      <c r="O1785" s="1" t="str">
        <f t="shared" si="536"/>
        <v>Y</v>
      </c>
      <c r="P1785" s="1" t="str">
        <f t="shared" si="522"/>
        <v>Y</v>
      </c>
      <c r="Q1785" s="1" t="str">
        <f t="shared" si="518"/>
        <v>A</v>
      </c>
    </row>
    <row r="1786" spans="1:17" x14ac:dyDescent="0.3">
      <c r="A1786" s="1" t="str">
        <f t="shared" si="535"/>
        <v>R</v>
      </c>
      <c r="B1786" s="1" t="str">
        <f>"L221003"</f>
        <v>L221003</v>
      </c>
      <c r="C1786" s="1" t="str">
        <f>"총단백량 감소"</f>
        <v>총단백량 감소</v>
      </c>
      <c r="D1786" s="1" t="s">
        <v>504</v>
      </c>
      <c r="E1786" s="1" t="str">
        <f>""</f>
        <v/>
      </c>
      <c r="F1786" s="1" t="str">
        <f>""</f>
        <v/>
      </c>
      <c r="G1786" s="1" t="str">
        <f>""</f>
        <v/>
      </c>
      <c r="H1786" s="1" t="str">
        <f>""</f>
        <v/>
      </c>
      <c r="I1786" s="1" t="str">
        <f>""</f>
        <v/>
      </c>
      <c r="J1786" s="1" t="str">
        <f>""</f>
        <v/>
      </c>
      <c r="K1786" s="1" t="str">
        <f>""</f>
        <v/>
      </c>
      <c r="L1786" s="1" t="str">
        <f t="shared" si="520"/>
        <v>R</v>
      </c>
      <c r="M1786" s="1" t="str">
        <f>""</f>
        <v/>
      </c>
      <c r="N1786" s="1" t="str">
        <f t="shared" si="521"/>
        <v>Y</v>
      </c>
      <c r="O1786" s="1" t="str">
        <f t="shared" si="536"/>
        <v>Y</v>
      </c>
      <c r="P1786" s="1" t="str">
        <f t="shared" si="522"/>
        <v>Y</v>
      </c>
      <c r="Q1786" s="1" t="str">
        <f t="shared" si="518"/>
        <v>A</v>
      </c>
    </row>
    <row r="1787" spans="1:17" x14ac:dyDescent="0.3">
      <c r="A1787" s="1" t="str">
        <f t="shared" si="535"/>
        <v>R</v>
      </c>
      <c r="B1787" s="1" t="str">
        <f>"L221004"</f>
        <v>L221004</v>
      </c>
      <c r="C1787" s="1" t="str">
        <f>"알부민증가"</f>
        <v>알부민증가</v>
      </c>
      <c r="D1787" s="1" t="s">
        <v>505</v>
      </c>
      <c r="E1787" s="1" t="str">
        <f>""</f>
        <v/>
      </c>
      <c r="F1787" s="1" t="str">
        <f>""</f>
        <v/>
      </c>
      <c r="G1787" s="1" t="str">
        <f>""</f>
        <v/>
      </c>
      <c r="H1787" s="1" t="str">
        <f>""</f>
        <v/>
      </c>
      <c r="I1787" s="1" t="str">
        <f>""</f>
        <v/>
      </c>
      <c r="J1787" s="1" t="str">
        <f>""</f>
        <v/>
      </c>
      <c r="K1787" s="1" t="str">
        <f>""</f>
        <v/>
      </c>
      <c r="L1787" s="1" t="str">
        <f t="shared" si="520"/>
        <v>R</v>
      </c>
      <c r="M1787" s="1" t="str">
        <f>""</f>
        <v/>
      </c>
      <c r="N1787" s="1" t="str">
        <f t="shared" si="521"/>
        <v>Y</v>
      </c>
      <c r="O1787" s="1" t="str">
        <f t="shared" si="536"/>
        <v>Y</v>
      </c>
      <c r="P1787" s="1" t="str">
        <f t="shared" si="522"/>
        <v>Y</v>
      </c>
      <c r="Q1787" s="1" t="str">
        <f t="shared" si="518"/>
        <v>A</v>
      </c>
    </row>
    <row r="1788" spans="1:17" x14ac:dyDescent="0.3">
      <c r="A1788" s="1" t="str">
        <f t="shared" si="535"/>
        <v>R</v>
      </c>
      <c r="B1788" s="1" t="str">
        <f>"L221005"</f>
        <v>L221005</v>
      </c>
      <c r="C1788" s="1" t="str">
        <f>"글로불린증가"</f>
        <v>글로불린증가</v>
      </c>
      <c r="D1788" s="1" t="str">
        <f>"혈액내 글로불린 수치가 정상범위 보다 증가되어 있습니다. 내원상담바랍니다."</f>
        <v>혈액내 글로불린 수치가 정상범위 보다 증가되어 있습니다. 내원상담바랍니다.</v>
      </c>
      <c r="E1788" s="1" t="str">
        <f>""</f>
        <v/>
      </c>
      <c r="F1788" s="1" t="str">
        <f>""</f>
        <v/>
      </c>
      <c r="G1788" s="1" t="str">
        <f>""</f>
        <v/>
      </c>
      <c r="H1788" s="1" t="str">
        <f>""</f>
        <v/>
      </c>
      <c r="I1788" s="1" t="str">
        <f>""</f>
        <v/>
      </c>
      <c r="J1788" s="1" t="str">
        <f>""</f>
        <v/>
      </c>
      <c r="K1788" s="1" t="str">
        <f>""</f>
        <v/>
      </c>
      <c r="L1788" s="1" t="str">
        <f t="shared" si="520"/>
        <v>R</v>
      </c>
      <c r="M1788" s="1" t="str">
        <f>""</f>
        <v/>
      </c>
      <c r="N1788" s="1" t="str">
        <f t="shared" si="521"/>
        <v>Y</v>
      </c>
      <c r="O1788" s="1" t="str">
        <f t="shared" si="536"/>
        <v>Y</v>
      </c>
      <c r="P1788" s="1" t="str">
        <f t="shared" si="522"/>
        <v>Y</v>
      </c>
      <c r="Q1788" s="1" t="str">
        <f t="shared" ref="Q1788:Q1807" si="537">"A"</f>
        <v>A</v>
      </c>
    </row>
    <row r="1789" spans="1:17" x14ac:dyDescent="0.3">
      <c r="A1789" s="1" t="str">
        <f t="shared" si="535"/>
        <v>R</v>
      </c>
      <c r="B1789" s="1" t="str">
        <f>"L221006"</f>
        <v>L221006</v>
      </c>
      <c r="C1789" s="1" t="str">
        <f>"A/G ratio 증가"</f>
        <v>A/G ratio 증가</v>
      </c>
      <c r="D1789" s="1" t="s">
        <v>506</v>
      </c>
      <c r="E1789" s="1" t="str">
        <f>""</f>
        <v/>
      </c>
      <c r="F1789" s="1" t="str">
        <f>""</f>
        <v/>
      </c>
      <c r="G1789" s="1" t="str">
        <f>""</f>
        <v/>
      </c>
      <c r="H1789" s="1" t="str">
        <f>""</f>
        <v/>
      </c>
      <c r="I1789" s="1" t="str">
        <f>""</f>
        <v/>
      </c>
      <c r="J1789" s="1" t="str">
        <f>""</f>
        <v/>
      </c>
      <c r="K1789" s="1" t="str">
        <f>""</f>
        <v/>
      </c>
      <c r="L1789" s="1" t="str">
        <f t="shared" si="520"/>
        <v>R</v>
      </c>
      <c r="M1789" s="1" t="str">
        <f>""</f>
        <v/>
      </c>
      <c r="N1789" s="1" t="str">
        <f t="shared" si="521"/>
        <v>Y</v>
      </c>
      <c r="O1789" s="1" t="str">
        <f t="shared" si="536"/>
        <v>Y</v>
      </c>
      <c r="P1789" s="1" t="str">
        <f t="shared" si="522"/>
        <v>Y</v>
      </c>
      <c r="Q1789" s="1" t="str">
        <f t="shared" si="537"/>
        <v>A</v>
      </c>
    </row>
    <row r="1790" spans="1:17" x14ac:dyDescent="0.3">
      <c r="A1790" s="1" t="str">
        <f t="shared" si="535"/>
        <v>R</v>
      </c>
      <c r="B1790" s="1" t="str">
        <f>"LEK403"</f>
        <v>LEK403</v>
      </c>
      <c r="C1790" s="1" t="str">
        <f>"백혈구감소"</f>
        <v>백혈구감소</v>
      </c>
      <c r="D1790" s="1" t="str">
        <f>"보통의 경우 면역력 약화에 의해 일시적으로 감소한 경우가 대부분이나 추적검사를 위한 정밀검사를 받으세요."</f>
        <v>보통의 경우 면역력 약화에 의해 일시적으로 감소한 경우가 대부분이나 추적검사를 위한 정밀검사를 받으세요.</v>
      </c>
      <c r="E1790" s="1" t="str">
        <f>""</f>
        <v/>
      </c>
      <c r="F1790" s="1" t="str">
        <f>""</f>
        <v/>
      </c>
      <c r="G1790" s="1" t="str">
        <f t="shared" ref="G1790:G1796" si="538">"DISD"</f>
        <v>DISD</v>
      </c>
      <c r="H1790" s="1" t="str">
        <f t="shared" ref="H1790:H1796" si="539">"REL12"</f>
        <v>REL12</v>
      </c>
      <c r="I1790" s="1" t="str">
        <f>""</f>
        <v/>
      </c>
      <c r="J1790" s="1" t="str">
        <f t="shared" ref="J1790:K1796" si="540">"C34R"</f>
        <v>C34R</v>
      </c>
      <c r="K1790" s="1" t="str">
        <f t="shared" si="540"/>
        <v>C34R</v>
      </c>
      <c r="L1790" s="1" t="str">
        <f t="shared" si="520"/>
        <v>R</v>
      </c>
      <c r="M1790" s="1" t="str">
        <f t="shared" ref="M1790:M1796" si="541">"T01"</f>
        <v>T01</v>
      </c>
      <c r="N1790" s="1" t="str">
        <f t="shared" si="521"/>
        <v>Y</v>
      </c>
      <c r="O1790" s="1" t="str">
        <f t="shared" si="536"/>
        <v>Y</v>
      </c>
      <c r="P1790" s="1" t="str">
        <f t="shared" si="522"/>
        <v>Y</v>
      </c>
      <c r="Q1790" s="1" t="str">
        <f t="shared" si="537"/>
        <v>A</v>
      </c>
    </row>
    <row r="1791" spans="1:17" x14ac:dyDescent="0.3">
      <c r="A1791" s="1" t="str">
        <f t="shared" si="535"/>
        <v>R</v>
      </c>
      <c r="B1791" s="1" t="str">
        <f>"LEK501"</f>
        <v>LEK501</v>
      </c>
      <c r="C1791" s="1" t="str">
        <f>"조혈기질환의심"</f>
        <v>조혈기질환의심</v>
      </c>
      <c r="D1791" s="1" t="str">
        <f>"정확한 진단을 위해 조혈기계에 대한 추가적인 검사가 필요합니다."</f>
        <v>정확한 진단을 위해 조혈기계에 대한 추가적인 검사가 필요합니다.</v>
      </c>
      <c r="E1791" s="1" t="str">
        <f>""</f>
        <v/>
      </c>
      <c r="F1791" s="1" t="str">
        <f>""</f>
        <v/>
      </c>
      <c r="G1791" s="1" t="str">
        <f t="shared" si="538"/>
        <v>DISD</v>
      </c>
      <c r="H1791" s="1" t="str">
        <f t="shared" si="539"/>
        <v>REL12</v>
      </c>
      <c r="I1791" s="1" t="str">
        <f>""</f>
        <v/>
      </c>
      <c r="J1791" s="1" t="str">
        <f t="shared" si="540"/>
        <v>C34R</v>
      </c>
      <c r="K1791" s="1" t="str">
        <f t="shared" si="540"/>
        <v>C34R</v>
      </c>
      <c r="L1791" s="1" t="str">
        <f t="shared" si="520"/>
        <v>R</v>
      </c>
      <c r="M1791" s="1" t="str">
        <f t="shared" si="541"/>
        <v>T01</v>
      </c>
      <c r="N1791" s="1" t="str">
        <f t="shared" si="521"/>
        <v>Y</v>
      </c>
      <c r="O1791" s="1" t="str">
        <f t="shared" si="536"/>
        <v>Y</v>
      </c>
      <c r="P1791" s="1" t="str">
        <f t="shared" si="522"/>
        <v>Y</v>
      </c>
      <c r="Q1791" s="1" t="str">
        <f t="shared" si="537"/>
        <v>A</v>
      </c>
    </row>
    <row r="1792" spans="1:17" x14ac:dyDescent="0.3">
      <c r="A1792" s="1" t="str">
        <f t="shared" si="535"/>
        <v>R</v>
      </c>
      <c r="B1792" s="1" t="str">
        <f>"LEK5011"</f>
        <v>LEK5011</v>
      </c>
      <c r="C1792" s="1" t="str">
        <f>"조혈기계질환의심"</f>
        <v>조혈기계질환의심</v>
      </c>
      <c r="D1792" s="1" t="str">
        <f>"2차검사(재검) 필요 (특수검진)"</f>
        <v>2차검사(재검) 필요 (특수검진)</v>
      </c>
      <c r="E1792" s="1" t="str">
        <f>""</f>
        <v/>
      </c>
      <c r="F1792" s="1" t="str">
        <f>""</f>
        <v/>
      </c>
      <c r="G1792" s="1" t="str">
        <f t="shared" si="538"/>
        <v>DISD</v>
      </c>
      <c r="H1792" s="1" t="str">
        <f t="shared" si="539"/>
        <v>REL12</v>
      </c>
      <c r="I1792" s="1" t="str">
        <f>""</f>
        <v/>
      </c>
      <c r="J1792" s="1" t="str">
        <f t="shared" si="540"/>
        <v>C34R</v>
      </c>
      <c r="K1792" s="1" t="str">
        <f t="shared" si="540"/>
        <v>C34R</v>
      </c>
      <c r="L1792" s="1" t="str">
        <f t="shared" si="520"/>
        <v>R</v>
      </c>
      <c r="M1792" s="1" t="str">
        <f t="shared" si="541"/>
        <v>T01</v>
      </c>
      <c r="N1792" s="1" t="str">
        <f t="shared" si="521"/>
        <v>Y</v>
      </c>
      <c r="O1792" s="1" t="str">
        <f t="shared" si="536"/>
        <v>Y</v>
      </c>
      <c r="P1792" s="1" t="str">
        <f t="shared" si="522"/>
        <v>Y</v>
      </c>
      <c r="Q1792" s="1" t="str">
        <f t="shared" si="537"/>
        <v>A</v>
      </c>
    </row>
    <row r="1793" spans="1:17" x14ac:dyDescent="0.3">
      <c r="A1793" s="1" t="str">
        <f t="shared" si="535"/>
        <v>R</v>
      </c>
      <c r="B1793" s="1" t="str">
        <f>"LEK5012"</f>
        <v>LEK5012</v>
      </c>
      <c r="C1793" s="1" t="str">
        <f>"조혈기계질환의심"</f>
        <v>조혈기계질환의심</v>
      </c>
      <c r="D1793" s="1" t="str">
        <f>"2차검사(재검) 필요 (특수검진)"</f>
        <v>2차검사(재검) 필요 (특수검진)</v>
      </c>
      <c r="E1793" s="1" t="str">
        <f>""</f>
        <v/>
      </c>
      <c r="F1793" s="1" t="str">
        <f>""</f>
        <v/>
      </c>
      <c r="G1793" s="1" t="str">
        <f t="shared" si="538"/>
        <v>DISD</v>
      </c>
      <c r="H1793" s="1" t="str">
        <f t="shared" si="539"/>
        <v>REL12</v>
      </c>
      <c r="I1793" s="1" t="str">
        <f>""</f>
        <v/>
      </c>
      <c r="J1793" s="1" t="str">
        <f t="shared" si="540"/>
        <v>C34R</v>
      </c>
      <c r="K1793" s="1" t="str">
        <f t="shared" si="540"/>
        <v>C34R</v>
      </c>
      <c r="L1793" s="1" t="str">
        <f t="shared" si="520"/>
        <v>R</v>
      </c>
      <c r="M1793" s="1" t="str">
        <f t="shared" si="541"/>
        <v>T01</v>
      </c>
      <c r="N1793" s="1" t="str">
        <f t="shared" si="521"/>
        <v>Y</v>
      </c>
      <c r="O1793" s="1" t="str">
        <f t="shared" si="536"/>
        <v>Y</v>
      </c>
      <c r="P1793" s="1" t="str">
        <f t="shared" si="522"/>
        <v>Y</v>
      </c>
      <c r="Q1793" s="1" t="str">
        <f t="shared" si="537"/>
        <v>A</v>
      </c>
    </row>
    <row r="1794" spans="1:17" x14ac:dyDescent="0.3">
      <c r="A1794" s="1" t="str">
        <f t="shared" si="535"/>
        <v>R</v>
      </c>
      <c r="B1794" s="1" t="str">
        <f>"LEK5013"</f>
        <v>LEK5013</v>
      </c>
      <c r="C1794" s="1" t="str">
        <f>"조혈기계질환의심"</f>
        <v>조혈기계질환의심</v>
      </c>
      <c r="D1794" s="1" t="str">
        <f>"2차검사(재검) 필요 (특수검진)"</f>
        <v>2차검사(재검) 필요 (특수검진)</v>
      </c>
      <c r="E1794" s="1" t="str">
        <f>""</f>
        <v/>
      </c>
      <c r="F1794" s="1" t="str">
        <f>""</f>
        <v/>
      </c>
      <c r="G1794" s="1" t="str">
        <f t="shared" si="538"/>
        <v>DISD</v>
      </c>
      <c r="H1794" s="1" t="str">
        <f t="shared" si="539"/>
        <v>REL12</v>
      </c>
      <c r="I1794" s="1" t="str">
        <f>""</f>
        <v/>
      </c>
      <c r="J1794" s="1" t="str">
        <f t="shared" si="540"/>
        <v>C34R</v>
      </c>
      <c r="K1794" s="1" t="str">
        <f t="shared" si="540"/>
        <v>C34R</v>
      </c>
      <c r="L1794" s="1" t="str">
        <f t="shared" si="520"/>
        <v>R</v>
      </c>
      <c r="M1794" s="1" t="str">
        <f t="shared" si="541"/>
        <v>T01</v>
      </c>
      <c r="N1794" s="1" t="str">
        <f t="shared" si="521"/>
        <v>Y</v>
      </c>
      <c r="O1794" s="1" t="str">
        <f t="shared" si="536"/>
        <v>Y</v>
      </c>
      <c r="P1794" s="1" t="str">
        <f t="shared" si="522"/>
        <v>Y</v>
      </c>
      <c r="Q1794" s="1" t="str">
        <f t="shared" si="537"/>
        <v>A</v>
      </c>
    </row>
    <row r="1795" spans="1:17" x14ac:dyDescent="0.3">
      <c r="A1795" s="1" t="str">
        <f t="shared" si="535"/>
        <v>R</v>
      </c>
      <c r="B1795" s="1" t="str">
        <f>"LEK5014"</f>
        <v>LEK5014</v>
      </c>
      <c r="C1795" s="1" t="str">
        <f>"조혈기계질환의심"</f>
        <v>조혈기계질환의심</v>
      </c>
      <c r="D1795" s="1" t="str">
        <f>"2차검사(재검) 필요 (특수검진)"</f>
        <v>2차검사(재검) 필요 (특수검진)</v>
      </c>
      <c r="E1795" s="1" t="str">
        <f>""</f>
        <v/>
      </c>
      <c r="F1795" s="1" t="str">
        <f>""</f>
        <v/>
      </c>
      <c r="G1795" s="1" t="str">
        <f t="shared" si="538"/>
        <v>DISD</v>
      </c>
      <c r="H1795" s="1" t="str">
        <f t="shared" si="539"/>
        <v>REL12</v>
      </c>
      <c r="I1795" s="1" t="str">
        <f>""</f>
        <v/>
      </c>
      <c r="J1795" s="1" t="str">
        <f t="shared" si="540"/>
        <v>C34R</v>
      </c>
      <c r="K1795" s="1" t="str">
        <f t="shared" si="540"/>
        <v>C34R</v>
      </c>
      <c r="L1795" s="1" t="str">
        <f t="shared" si="520"/>
        <v>R</v>
      </c>
      <c r="M1795" s="1" t="str">
        <f t="shared" si="541"/>
        <v>T01</v>
      </c>
      <c r="N1795" s="1" t="str">
        <f t="shared" si="521"/>
        <v>Y</v>
      </c>
      <c r="O1795" s="1" t="str">
        <f t="shared" si="536"/>
        <v>Y</v>
      </c>
      <c r="P1795" s="1" t="str">
        <f t="shared" si="522"/>
        <v>Y</v>
      </c>
      <c r="Q1795" s="1" t="str">
        <f t="shared" si="537"/>
        <v>A</v>
      </c>
    </row>
    <row r="1796" spans="1:17" x14ac:dyDescent="0.3">
      <c r="A1796" s="1" t="str">
        <f t="shared" si="535"/>
        <v>R</v>
      </c>
      <c r="B1796" s="1" t="str">
        <f>"LEK5015"</f>
        <v>LEK5015</v>
      </c>
      <c r="C1796" s="1" t="str">
        <f>"조혈기계질환의심"</f>
        <v>조혈기계질환의심</v>
      </c>
      <c r="D1796" s="1" t="str">
        <f>"2차검사(재검) 필요 (특수검진)"</f>
        <v>2차검사(재검) 필요 (특수검진)</v>
      </c>
      <c r="E1796" s="1" t="str">
        <f>""</f>
        <v/>
      </c>
      <c r="F1796" s="1" t="str">
        <f>""</f>
        <v/>
      </c>
      <c r="G1796" s="1" t="str">
        <f t="shared" si="538"/>
        <v>DISD</v>
      </c>
      <c r="H1796" s="1" t="str">
        <f t="shared" si="539"/>
        <v>REL12</v>
      </c>
      <c r="I1796" s="1" t="str">
        <f>""</f>
        <v/>
      </c>
      <c r="J1796" s="1" t="str">
        <f t="shared" si="540"/>
        <v>C34R</v>
      </c>
      <c r="K1796" s="1" t="str">
        <f t="shared" si="540"/>
        <v>C34R</v>
      </c>
      <c r="L1796" s="1" t="str">
        <f t="shared" si="520"/>
        <v>R</v>
      </c>
      <c r="M1796" s="1" t="str">
        <f t="shared" si="541"/>
        <v>T01</v>
      </c>
      <c r="N1796" s="1" t="str">
        <f t="shared" si="521"/>
        <v>Y</v>
      </c>
      <c r="O1796" s="1" t="str">
        <f t="shared" si="536"/>
        <v>Y</v>
      </c>
      <c r="P1796" s="1" t="str">
        <f t="shared" si="522"/>
        <v>Y</v>
      </c>
      <c r="Q1796" s="1" t="str">
        <f t="shared" si="537"/>
        <v>A</v>
      </c>
    </row>
    <row r="1797" spans="1:17" x14ac:dyDescent="0.3">
      <c r="A1797" s="1" t="str">
        <f t="shared" si="535"/>
        <v>R</v>
      </c>
      <c r="B1797" s="1" t="str">
        <f>"LIPID1"</f>
        <v>LIPID1</v>
      </c>
      <c r="C1797" s="1" t="str">
        <f>"이상지질혈증"</f>
        <v>이상지질혈증</v>
      </c>
      <c r="D1797" s="1" t="str">
        <f>"2차 검사(재검) 필요"</f>
        <v>2차 검사(재검) 필요</v>
      </c>
      <c r="E1797" s="1" t="str">
        <f>""</f>
        <v/>
      </c>
      <c r="F1797" s="1" t="str">
        <f>""</f>
        <v/>
      </c>
      <c r="G1797" s="1" t="str">
        <f>"DIS600"</f>
        <v>DIS600</v>
      </c>
      <c r="H1797" s="1" t="str">
        <f>"REL04"</f>
        <v>REL04</v>
      </c>
      <c r="I1797" s="1" t="str">
        <f>""</f>
        <v/>
      </c>
      <c r="J1797" s="1" t="str">
        <f>"N01R"</f>
        <v>N01R</v>
      </c>
      <c r="K1797" s="1" t="str">
        <f>"N01R"</f>
        <v>N01R</v>
      </c>
      <c r="L1797" s="1" t="str">
        <f t="shared" si="520"/>
        <v>R</v>
      </c>
      <c r="M1797" s="1" t="str">
        <f>"T031"</f>
        <v>T031</v>
      </c>
      <c r="N1797" s="1" t="str">
        <f t="shared" si="521"/>
        <v>Y</v>
      </c>
      <c r="O1797" s="1" t="str">
        <f t="shared" si="536"/>
        <v>Y</v>
      </c>
      <c r="P1797" s="1" t="str">
        <f t="shared" si="522"/>
        <v>Y</v>
      </c>
      <c r="Q1797" s="1" t="str">
        <f t="shared" si="537"/>
        <v>A</v>
      </c>
    </row>
    <row r="1798" spans="1:17" x14ac:dyDescent="0.3">
      <c r="A1798" s="1" t="str">
        <f t="shared" si="535"/>
        <v>R</v>
      </c>
      <c r="B1798" s="1" t="str">
        <f>"LTS001"</f>
        <v>LTS001</v>
      </c>
      <c r="C1798" s="1" t="str">
        <f>"생애전환기건강검진 결과상담 요함"</f>
        <v>생애전환기건강검진 결과상담 요함</v>
      </c>
      <c r="D1798" s="1" t="str">
        <f>"생애전환기건강검진(1차) 결과에 대한 건강상담을 받으세요."</f>
        <v>생애전환기건강검진(1차) 결과에 대한 건강상담을 받으세요.</v>
      </c>
      <c r="E1798" s="1" t="str">
        <f>""</f>
        <v/>
      </c>
      <c r="F1798" s="1" t="str">
        <f>""</f>
        <v/>
      </c>
      <c r="G1798" s="1" t="str">
        <f>""</f>
        <v/>
      </c>
      <c r="H1798" s="1" t="str">
        <f>""</f>
        <v/>
      </c>
      <c r="I1798" s="1" t="str">
        <f>""</f>
        <v/>
      </c>
      <c r="J1798" s="1" t="str">
        <f>"C54R"</f>
        <v>C54R</v>
      </c>
      <c r="K1798" s="1" t="str">
        <f>"C54R"</f>
        <v>C54R</v>
      </c>
      <c r="L1798" s="1" t="str">
        <f t="shared" ref="L1798:L1804" si="542">"Q"</f>
        <v>Q</v>
      </c>
      <c r="M1798" s="1" t="str">
        <f>""</f>
        <v/>
      </c>
      <c r="N1798" s="1" t="str">
        <f t="shared" si="521"/>
        <v>Y</v>
      </c>
      <c r="O1798" s="1" t="str">
        <f t="shared" si="536"/>
        <v>Y</v>
      </c>
      <c r="P1798" s="1" t="str">
        <f t="shared" si="522"/>
        <v>Y</v>
      </c>
      <c r="Q1798" s="1" t="str">
        <f t="shared" si="537"/>
        <v>A</v>
      </c>
    </row>
    <row r="1799" spans="1:17" x14ac:dyDescent="0.3">
      <c r="A1799" s="1" t="str">
        <f t="shared" si="535"/>
        <v>R</v>
      </c>
      <c r="B1799" s="1" t="str">
        <f>"LTS504"</f>
        <v>LTS504</v>
      </c>
      <c r="C1799" s="1" t="str">
        <f>"인지기능 2차검사 대상자"</f>
        <v>인지기능 2차검사 대상자</v>
      </c>
      <c r="D1799" s="1" t="str">
        <f>"인지기능검사 2차 설문 및 상담을 받으세요."</f>
        <v>인지기능검사 2차 설문 및 상담을 받으세요.</v>
      </c>
      <c r="E1799" s="1" t="str">
        <f>""</f>
        <v/>
      </c>
      <c r="F1799" s="1" t="str">
        <f>""</f>
        <v/>
      </c>
      <c r="G1799" s="1" t="str">
        <f>"DISF"</f>
        <v>DISF</v>
      </c>
      <c r="H1799" s="1" t="str">
        <f>"REL28"</f>
        <v>REL28</v>
      </c>
      <c r="I1799" s="1" t="str">
        <f>""</f>
        <v/>
      </c>
      <c r="J1799" s="1" t="str">
        <f>"C36R"</f>
        <v>C36R</v>
      </c>
      <c r="K1799" s="1" t="str">
        <f>"C36R"</f>
        <v>C36R</v>
      </c>
      <c r="L1799" s="1" t="str">
        <f t="shared" si="542"/>
        <v>Q</v>
      </c>
      <c r="M1799" s="1" t="str">
        <f>"T06"</f>
        <v>T06</v>
      </c>
      <c r="N1799" s="1" t="str">
        <f t="shared" si="521"/>
        <v>Y</v>
      </c>
      <c r="O1799" s="1" t="str">
        <f t="shared" si="536"/>
        <v>Y</v>
      </c>
      <c r="P1799" s="1" t="str">
        <f t="shared" si="522"/>
        <v>Y</v>
      </c>
      <c r="Q1799" s="1" t="str">
        <f t="shared" si="537"/>
        <v>A</v>
      </c>
    </row>
    <row r="1800" spans="1:17" x14ac:dyDescent="0.3">
      <c r="A1800" s="1" t="str">
        <f t="shared" si="535"/>
        <v>R</v>
      </c>
      <c r="B1800" s="1" t="str">
        <f>"LTS505"</f>
        <v>LTS505</v>
      </c>
      <c r="C1800" s="1" t="str">
        <f>"생활습관 검사(흡연평가) 대상자"</f>
        <v>생활습관 검사(흡연평가) 대상자</v>
      </c>
      <c r="D1800" s="1" t="str">
        <f>"2차 검진시 흡연평가 및 처방을 받으세요"</f>
        <v>2차 검진시 흡연평가 및 처방을 받으세요</v>
      </c>
      <c r="E1800" s="1" t="str">
        <f>""</f>
        <v/>
      </c>
      <c r="F1800" s="1" t="str">
        <f>""</f>
        <v/>
      </c>
      <c r="G1800" s="1" t="str">
        <f>"DISE"</f>
        <v>DISE</v>
      </c>
      <c r="H1800" s="1" t="str">
        <f>"REL29"</f>
        <v>REL29</v>
      </c>
      <c r="I1800" s="1" t="str">
        <f>""</f>
        <v/>
      </c>
      <c r="J1800" s="1" t="str">
        <f t="shared" ref="J1800:K1804" si="543">"C54R"</f>
        <v>C54R</v>
      </c>
      <c r="K1800" s="1" t="str">
        <f t="shared" si="543"/>
        <v>C54R</v>
      </c>
      <c r="L1800" s="1" t="str">
        <f t="shared" si="542"/>
        <v>Q</v>
      </c>
      <c r="M1800" s="1" t="str">
        <f>""</f>
        <v/>
      </c>
      <c r="N1800" s="1" t="str">
        <f>"N"</f>
        <v>N</v>
      </c>
      <c r="O1800" s="1" t="str">
        <f t="shared" si="536"/>
        <v>Y</v>
      </c>
      <c r="P1800" s="1" t="str">
        <f t="shared" si="522"/>
        <v>Y</v>
      </c>
      <c r="Q1800" s="1" t="str">
        <f t="shared" si="537"/>
        <v>A</v>
      </c>
    </row>
    <row r="1801" spans="1:17" x14ac:dyDescent="0.3">
      <c r="A1801" s="1" t="str">
        <f t="shared" si="535"/>
        <v>R</v>
      </c>
      <c r="B1801" s="1" t="str">
        <f>"LTS506"</f>
        <v>LTS506</v>
      </c>
      <c r="C1801" s="1" t="str">
        <f>"생활습관 검사(음주평가) 대상자"</f>
        <v>생활습관 검사(음주평가) 대상자</v>
      </c>
      <c r="D1801" s="1" t="str">
        <f>"2차 검진시 음주평가 및 처방을 받으세요"</f>
        <v>2차 검진시 음주평가 및 처방을 받으세요</v>
      </c>
      <c r="E1801" s="1" t="str">
        <f>""</f>
        <v/>
      </c>
      <c r="F1801" s="1" t="str">
        <f>""</f>
        <v/>
      </c>
      <c r="G1801" s="1" t="str">
        <f>"DISE"</f>
        <v>DISE</v>
      </c>
      <c r="H1801" s="1" t="str">
        <f>"REL29"</f>
        <v>REL29</v>
      </c>
      <c r="I1801" s="1" t="str">
        <f>""</f>
        <v/>
      </c>
      <c r="J1801" s="1" t="str">
        <f t="shared" si="543"/>
        <v>C54R</v>
      </c>
      <c r="K1801" s="1" t="str">
        <f t="shared" si="543"/>
        <v>C54R</v>
      </c>
      <c r="L1801" s="1" t="str">
        <f t="shared" si="542"/>
        <v>Q</v>
      </c>
      <c r="M1801" s="1" t="str">
        <f>""</f>
        <v/>
      </c>
      <c r="N1801" s="1" t="str">
        <f>"N"</f>
        <v>N</v>
      </c>
      <c r="O1801" s="1" t="str">
        <f t="shared" si="536"/>
        <v>Y</v>
      </c>
      <c r="P1801" s="1" t="str">
        <f t="shared" si="522"/>
        <v>Y</v>
      </c>
      <c r="Q1801" s="1" t="str">
        <f t="shared" si="537"/>
        <v>A</v>
      </c>
    </row>
    <row r="1802" spans="1:17" x14ac:dyDescent="0.3">
      <c r="A1802" s="1" t="str">
        <f t="shared" si="535"/>
        <v>R</v>
      </c>
      <c r="B1802" s="1" t="str">
        <f>"LTS507"</f>
        <v>LTS507</v>
      </c>
      <c r="C1802" s="1" t="str">
        <f>"생활습관 검사(운동평가) 대상자"</f>
        <v>생활습관 검사(운동평가) 대상자</v>
      </c>
      <c r="D1802" s="1" t="str">
        <f>"2차 검진시 운동평가 및 처방을 받으세요"</f>
        <v>2차 검진시 운동평가 및 처방을 받으세요</v>
      </c>
      <c r="E1802" s="1" t="str">
        <f>""</f>
        <v/>
      </c>
      <c r="F1802" s="1" t="str">
        <f>""</f>
        <v/>
      </c>
      <c r="G1802" s="1" t="str">
        <f>"DISE"</f>
        <v>DISE</v>
      </c>
      <c r="H1802" s="1" t="str">
        <f>"REL29"</f>
        <v>REL29</v>
      </c>
      <c r="I1802" s="1" t="str">
        <f>""</f>
        <v/>
      </c>
      <c r="J1802" s="1" t="str">
        <f t="shared" si="543"/>
        <v>C54R</v>
      </c>
      <c r="K1802" s="1" t="str">
        <f t="shared" si="543"/>
        <v>C54R</v>
      </c>
      <c r="L1802" s="1" t="str">
        <f t="shared" si="542"/>
        <v>Q</v>
      </c>
      <c r="M1802" s="1" t="str">
        <f>""</f>
        <v/>
      </c>
      <c r="N1802" s="1" t="str">
        <f>"N"</f>
        <v>N</v>
      </c>
      <c r="O1802" s="1" t="str">
        <f t="shared" si="536"/>
        <v>Y</v>
      </c>
      <c r="P1802" s="1" t="str">
        <f t="shared" ref="P1802:P1865" si="544">"Y"</f>
        <v>Y</v>
      </c>
      <c r="Q1802" s="1" t="str">
        <f t="shared" si="537"/>
        <v>A</v>
      </c>
    </row>
    <row r="1803" spans="1:17" x14ac:dyDescent="0.3">
      <c r="A1803" s="1" t="str">
        <f t="shared" si="535"/>
        <v>R</v>
      </c>
      <c r="B1803" s="1" t="str">
        <f>"LTS508"</f>
        <v>LTS508</v>
      </c>
      <c r="C1803" s="1" t="str">
        <f>"생활습관 검사(영양평가) 대상자"</f>
        <v>생활습관 검사(영양평가) 대상자</v>
      </c>
      <c r="D1803" s="1" t="str">
        <f>"2차 검진시 영양평가 및 처방을 받으세요"</f>
        <v>2차 검진시 영양평가 및 처방을 받으세요</v>
      </c>
      <c r="E1803" s="1" t="str">
        <f>""</f>
        <v/>
      </c>
      <c r="F1803" s="1" t="str">
        <f>""</f>
        <v/>
      </c>
      <c r="G1803" s="1" t="str">
        <f>"DISE"</f>
        <v>DISE</v>
      </c>
      <c r="H1803" s="1" t="str">
        <f>"REL29"</f>
        <v>REL29</v>
      </c>
      <c r="I1803" s="1" t="str">
        <f>""</f>
        <v/>
      </c>
      <c r="J1803" s="1" t="str">
        <f t="shared" si="543"/>
        <v>C54R</v>
      </c>
      <c r="K1803" s="1" t="str">
        <f t="shared" si="543"/>
        <v>C54R</v>
      </c>
      <c r="L1803" s="1" t="str">
        <f t="shared" si="542"/>
        <v>Q</v>
      </c>
      <c r="M1803" s="1" t="str">
        <f>""</f>
        <v/>
      </c>
      <c r="N1803" s="1" t="str">
        <f>"N"</f>
        <v>N</v>
      </c>
      <c r="O1803" s="1" t="str">
        <f t="shared" si="536"/>
        <v>Y</v>
      </c>
      <c r="P1803" s="1" t="str">
        <f t="shared" si="544"/>
        <v>Y</v>
      </c>
      <c r="Q1803" s="1" t="str">
        <f t="shared" si="537"/>
        <v>A</v>
      </c>
    </row>
    <row r="1804" spans="1:17" x14ac:dyDescent="0.3">
      <c r="A1804" s="1" t="str">
        <f t="shared" si="535"/>
        <v>R</v>
      </c>
      <c r="B1804" s="1" t="str">
        <f>"LTS509"</f>
        <v>LTS509</v>
      </c>
      <c r="C1804" s="1" t="str">
        <f>"생활습관 검사(비만평가) 대상자"</f>
        <v>생활습관 검사(비만평가) 대상자</v>
      </c>
      <c r="D1804" s="1" t="str">
        <f>"2차 검진시 비만평가 및 처방을 받으세요"</f>
        <v>2차 검진시 비만평가 및 처방을 받으세요</v>
      </c>
      <c r="E1804" s="1" t="str">
        <f>""</f>
        <v/>
      </c>
      <c r="F1804" s="1" t="str">
        <f>""</f>
        <v/>
      </c>
      <c r="G1804" s="1" t="str">
        <f>"DISE"</f>
        <v>DISE</v>
      </c>
      <c r="H1804" s="1" t="str">
        <f>"REL29"</f>
        <v>REL29</v>
      </c>
      <c r="I1804" s="1" t="str">
        <f>""</f>
        <v/>
      </c>
      <c r="J1804" s="1" t="str">
        <f t="shared" si="543"/>
        <v>C54R</v>
      </c>
      <c r="K1804" s="1" t="str">
        <f t="shared" si="543"/>
        <v>C54R</v>
      </c>
      <c r="L1804" s="1" t="str">
        <f t="shared" si="542"/>
        <v>Q</v>
      </c>
      <c r="M1804" s="1" t="str">
        <f>""</f>
        <v/>
      </c>
      <c r="N1804" s="1" t="str">
        <f>"N"</f>
        <v>N</v>
      </c>
      <c r="O1804" s="1" t="str">
        <f t="shared" si="536"/>
        <v>Y</v>
      </c>
      <c r="P1804" s="1" t="str">
        <f t="shared" si="544"/>
        <v>Y</v>
      </c>
      <c r="Q1804" s="1" t="str">
        <f t="shared" si="537"/>
        <v>A</v>
      </c>
    </row>
    <row r="1805" spans="1:17" x14ac:dyDescent="0.3">
      <c r="A1805" s="1" t="str">
        <f t="shared" si="535"/>
        <v>R</v>
      </c>
      <c r="B1805" s="1" t="str">
        <f>"MSD501"</f>
        <v>MSD501</v>
      </c>
      <c r="C1805" s="1" t="str">
        <f>"근골격계질환의심"</f>
        <v>근골격계질환의심</v>
      </c>
      <c r="D1805" s="1" t="str">
        <f>"근골격계질환이 의심스럽습니다. 상담후 추적검사가 필요합니다."</f>
        <v>근골격계질환이 의심스럽습니다. 상담후 추적검사가 필요합니다.</v>
      </c>
      <c r="E1805" s="1" t="str">
        <f>""</f>
        <v/>
      </c>
      <c r="F1805" s="1" t="str">
        <f>"PTM03"</f>
        <v>PTM03</v>
      </c>
      <c r="G1805" s="1" t="str">
        <f>"DISM"</f>
        <v>DISM</v>
      </c>
      <c r="H1805" s="1" t="str">
        <f>"REL22"</f>
        <v>REL22</v>
      </c>
      <c r="I1805" s="1" t="str">
        <f>""</f>
        <v/>
      </c>
      <c r="J1805" s="1" t="str">
        <f>"C43R"</f>
        <v>C43R</v>
      </c>
      <c r="K1805" s="1" t="str">
        <f>"C43R"</f>
        <v>C43R</v>
      </c>
      <c r="L1805" s="1" t="str">
        <f t="shared" ref="L1805:L1842" si="545">"R"</f>
        <v>R</v>
      </c>
      <c r="M1805" s="1" t="str">
        <f>""</f>
        <v/>
      </c>
      <c r="N1805" s="1" t="str">
        <f t="shared" ref="N1805:N1841" si="546">"Y"</f>
        <v>Y</v>
      </c>
      <c r="O1805" s="1" t="str">
        <f t="shared" si="536"/>
        <v>Y</v>
      </c>
      <c r="P1805" s="1" t="str">
        <f t="shared" si="544"/>
        <v>Y</v>
      </c>
      <c r="Q1805" s="1" t="str">
        <f t="shared" si="537"/>
        <v>A</v>
      </c>
    </row>
    <row r="1806" spans="1:17" x14ac:dyDescent="0.3">
      <c r="A1806" s="1" t="str">
        <f t="shared" ref="A1806:A1839" si="547">"R"</f>
        <v>R</v>
      </c>
      <c r="B1806" s="1" t="str">
        <f>"NHL501"</f>
        <v>NHL501</v>
      </c>
      <c r="C1806" s="1" t="str">
        <f>"청력 저하 의심"</f>
        <v>청력 저하 의심</v>
      </c>
      <c r="D1806" s="1" t="str">
        <f>"청력에 대한 정밀검사가 필요합니다."</f>
        <v>청력에 대한 정밀검사가 필요합니다.</v>
      </c>
      <c r="E1806" s="1" t="str">
        <f>""</f>
        <v/>
      </c>
      <c r="F1806" s="1" t="str">
        <f>""</f>
        <v/>
      </c>
      <c r="G1806" s="1" t="str">
        <f>"DIS110"</f>
        <v>DIS110</v>
      </c>
      <c r="H1806" s="1" t="str">
        <f>"REL19"</f>
        <v>REL19</v>
      </c>
      <c r="I1806" s="1" t="str">
        <f>"01"</f>
        <v>01</v>
      </c>
      <c r="J1806" s="1" t="str">
        <f t="shared" ref="J1806:K1809" si="548">"S01R"</f>
        <v>S01R</v>
      </c>
      <c r="K1806" s="1" t="str">
        <f t="shared" si="548"/>
        <v>S01R</v>
      </c>
      <c r="L1806" s="1" t="str">
        <f t="shared" si="545"/>
        <v>R</v>
      </c>
      <c r="M1806" s="1" t="str">
        <f>"T10"</f>
        <v>T10</v>
      </c>
      <c r="N1806" s="1" t="str">
        <f t="shared" si="546"/>
        <v>Y</v>
      </c>
      <c r="O1806" s="1" t="str">
        <f t="shared" si="536"/>
        <v>Y</v>
      </c>
      <c r="P1806" s="1" t="str">
        <f t="shared" si="544"/>
        <v>Y</v>
      </c>
      <c r="Q1806" s="1" t="str">
        <f t="shared" si="537"/>
        <v>A</v>
      </c>
    </row>
    <row r="1807" spans="1:17" x14ac:dyDescent="0.3">
      <c r="A1807" s="1" t="str">
        <f t="shared" si="547"/>
        <v>R</v>
      </c>
      <c r="B1807" s="1" t="str">
        <f>"NHL501B"</f>
        <v>NHL501B</v>
      </c>
      <c r="C1807" s="1" t="str">
        <f>"청력정밀검사 대상자(양측)"</f>
        <v>청력정밀검사 대상자(양측)</v>
      </c>
      <c r="D1807" s="1" t="str">
        <f>"14시간이상 소음에 노출되지 않은 상태에서 청력정밀검사를 받으세요."</f>
        <v>14시간이상 소음에 노출되지 않은 상태에서 청력정밀검사를 받으세요.</v>
      </c>
      <c r="E1807" s="1" t="str">
        <f>""</f>
        <v/>
      </c>
      <c r="F1807" s="1" t="str">
        <f>""</f>
        <v/>
      </c>
      <c r="G1807" s="1" t="str">
        <f>"DISH"</f>
        <v>DISH</v>
      </c>
      <c r="H1807" s="1" t="str">
        <f>"REL19"</f>
        <v>REL19</v>
      </c>
      <c r="I1807" s="1" t="str">
        <f>"01"</f>
        <v>01</v>
      </c>
      <c r="J1807" s="1" t="str">
        <f t="shared" si="548"/>
        <v>S01R</v>
      </c>
      <c r="K1807" s="1" t="str">
        <f t="shared" si="548"/>
        <v>S01R</v>
      </c>
      <c r="L1807" s="1" t="str">
        <f t="shared" si="545"/>
        <v>R</v>
      </c>
      <c r="M1807" s="1" t="str">
        <f>"T10"</f>
        <v>T10</v>
      </c>
      <c r="N1807" s="1" t="str">
        <f t="shared" si="546"/>
        <v>Y</v>
      </c>
      <c r="O1807" s="1" t="str">
        <f>"N"</f>
        <v>N</v>
      </c>
      <c r="P1807" s="1" t="str">
        <f t="shared" si="544"/>
        <v>Y</v>
      </c>
      <c r="Q1807" s="1" t="str">
        <f t="shared" si="537"/>
        <v>A</v>
      </c>
    </row>
    <row r="1808" spans="1:17" x14ac:dyDescent="0.3">
      <c r="A1808" s="1" t="str">
        <f t="shared" si="547"/>
        <v>R</v>
      </c>
      <c r="B1808" s="1" t="str">
        <f>"NHL501L"</f>
        <v>NHL501L</v>
      </c>
      <c r="C1808" s="1" t="str">
        <f>"청력정밀검사 대상자(좌측)"</f>
        <v>청력정밀검사 대상자(좌측)</v>
      </c>
      <c r="D1808" s="1" t="str">
        <f>"14시간 이상 소음에 노출되지 않은 상태에서 청력정밀검사를 받으시기 바랍니다."</f>
        <v>14시간 이상 소음에 노출되지 않은 상태에서 청력정밀검사를 받으시기 바랍니다.</v>
      </c>
      <c r="E1808" s="1" t="str">
        <f>""</f>
        <v/>
      </c>
      <c r="F1808" s="1" t="str">
        <f>""</f>
        <v/>
      </c>
      <c r="G1808" s="1" t="str">
        <f>"DISH"</f>
        <v>DISH</v>
      </c>
      <c r="H1808" s="1" t="str">
        <f>"REL19"</f>
        <v>REL19</v>
      </c>
      <c r="I1808" s="1" t="str">
        <f>"01"</f>
        <v>01</v>
      </c>
      <c r="J1808" s="1" t="str">
        <f t="shared" si="548"/>
        <v>S01R</v>
      </c>
      <c r="K1808" s="1" t="str">
        <f t="shared" si="548"/>
        <v>S01R</v>
      </c>
      <c r="L1808" s="1" t="str">
        <f t="shared" si="545"/>
        <v>R</v>
      </c>
      <c r="M1808" s="1" t="str">
        <f>"T10"</f>
        <v>T10</v>
      </c>
      <c r="N1808" s="1" t="str">
        <f t="shared" si="546"/>
        <v>Y</v>
      </c>
      <c r="O1808" s="1" t="str">
        <f t="shared" ref="O1808:O1871" si="549">"Y"</f>
        <v>Y</v>
      </c>
      <c r="P1808" s="1" t="str">
        <f t="shared" si="544"/>
        <v>Y</v>
      </c>
      <c r="Q1808" s="1" t="str">
        <f>"L"</f>
        <v>L</v>
      </c>
    </row>
    <row r="1809" spans="1:17" x14ac:dyDescent="0.3">
      <c r="A1809" s="1" t="str">
        <f t="shared" si="547"/>
        <v>R</v>
      </c>
      <c r="B1809" s="1" t="str">
        <f>"NHL501R"</f>
        <v>NHL501R</v>
      </c>
      <c r="C1809" s="1" t="str">
        <f>"청력정밀검사 대상자(우측)"</f>
        <v>청력정밀검사 대상자(우측)</v>
      </c>
      <c r="D1809" s="1" t="str">
        <f>"14시간 이상 소음에 노출되지 않은 상태에서 청력정밀검사를 받으시기 바랍니다."</f>
        <v>14시간 이상 소음에 노출되지 않은 상태에서 청력정밀검사를 받으시기 바랍니다.</v>
      </c>
      <c r="E1809" s="1" t="str">
        <f>""</f>
        <v/>
      </c>
      <c r="F1809" s="1" t="str">
        <f>""</f>
        <v/>
      </c>
      <c r="G1809" s="1" t="str">
        <f>"DISH"</f>
        <v>DISH</v>
      </c>
      <c r="H1809" s="1" t="str">
        <f>"REL19"</f>
        <v>REL19</v>
      </c>
      <c r="I1809" s="1" t="str">
        <f>"01"</f>
        <v>01</v>
      </c>
      <c r="J1809" s="1" t="str">
        <f t="shared" si="548"/>
        <v>S01R</v>
      </c>
      <c r="K1809" s="1" t="str">
        <f t="shared" si="548"/>
        <v>S01R</v>
      </c>
      <c r="L1809" s="1" t="str">
        <f t="shared" si="545"/>
        <v>R</v>
      </c>
      <c r="M1809" s="1" t="str">
        <f>"T10"</f>
        <v>T10</v>
      </c>
      <c r="N1809" s="1" t="str">
        <f t="shared" si="546"/>
        <v>Y</v>
      </c>
      <c r="O1809" s="1" t="str">
        <f t="shared" si="549"/>
        <v>Y</v>
      </c>
      <c r="P1809" s="1" t="str">
        <f t="shared" si="544"/>
        <v>Y</v>
      </c>
      <c r="Q1809" s="1" t="str">
        <f>"R"</f>
        <v>R</v>
      </c>
    </row>
    <row r="1810" spans="1:17" x14ac:dyDescent="0.3">
      <c r="A1810" s="1" t="str">
        <f t="shared" si="547"/>
        <v>R</v>
      </c>
      <c r="B1810" s="1" t="str">
        <f>"NPP501"</f>
        <v>NPP501</v>
      </c>
      <c r="C1810" s="1" t="str">
        <f>"신장질환의심(단백뇨 양성)"</f>
        <v>신장질환의심(단백뇨 양성)</v>
      </c>
      <c r="D1810" s="1" t="str">
        <f>"신장 질환에 의한 초기 징후일 수 있으므로 신장 기능에 대한 정밀검사 받으시기 바랍니다."</f>
        <v>신장 질환에 의한 초기 징후일 수 있으므로 신장 기능에 대한 정밀검사 받으시기 바랍니다.</v>
      </c>
      <c r="E1810" s="1" t="str">
        <f>""</f>
        <v/>
      </c>
      <c r="F1810" s="1" t="str">
        <f>""</f>
        <v/>
      </c>
      <c r="G1810" s="1" t="str">
        <f>"DISN"</f>
        <v>DISN</v>
      </c>
      <c r="H1810" s="1" t="str">
        <f>"REL08"</f>
        <v>REL08</v>
      </c>
      <c r="I1810" s="1" t="str">
        <f>""</f>
        <v/>
      </c>
      <c r="J1810" s="1" t="str">
        <f>"C07R"</f>
        <v>C07R</v>
      </c>
      <c r="K1810" s="1" t="str">
        <f>"C07R"</f>
        <v>C07R</v>
      </c>
      <c r="L1810" s="1" t="str">
        <f t="shared" si="545"/>
        <v>R</v>
      </c>
      <c r="M1810" s="1" t="str">
        <f>"T05"</f>
        <v>T05</v>
      </c>
      <c r="N1810" s="1" t="str">
        <f t="shared" si="546"/>
        <v>Y</v>
      </c>
      <c r="O1810" s="1" t="str">
        <f t="shared" si="549"/>
        <v>Y</v>
      </c>
      <c r="P1810" s="1" t="str">
        <f t="shared" si="544"/>
        <v>Y</v>
      </c>
      <c r="Q1810" s="1" t="str">
        <f t="shared" ref="Q1810:Q1873" si="550">"A"</f>
        <v>A</v>
      </c>
    </row>
    <row r="1811" spans="1:17" x14ac:dyDescent="0.3">
      <c r="A1811" s="1" t="str">
        <f t="shared" si="547"/>
        <v>R</v>
      </c>
      <c r="B1811" s="1" t="str">
        <f>"NRM501"</f>
        <v>NRM501</v>
      </c>
      <c r="C1811" s="1" t="str">
        <f>"말초신경염의심"</f>
        <v>말초신경염의심</v>
      </c>
      <c r="D1811" s="1" t="str">
        <f>"직업적 요인이나 개인질환으로 인해 발생할 수 있습니다. 정확한 진단과 원인파악을 위한 산업의학과나 신경과 검사가 필요합니다."</f>
        <v>직업적 요인이나 개인질환으로 인해 발생할 수 있습니다. 정확한 진단과 원인파악을 위한 산업의학과나 신경과 검사가 필요합니다.</v>
      </c>
      <c r="E1811" s="1" t="str">
        <f>"WOK02"</f>
        <v>WOK02</v>
      </c>
      <c r="F1811" s="1" t="str">
        <f>"PTM03"</f>
        <v>PTM03</v>
      </c>
      <c r="G1811" s="1" t="str">
        <f>"DISG"</f>
        <v>DISG</v>
      </c>
      <c r="H1811" s="1" t="str">
        <f>"REL21"</f>
        <v>REL21</v>
      </c>
      <c r="I1811" s="1" t="str">
        <f>""</f>
        <v/>
      </c>
      <c r="J1811" s="1" t="str">
        <f>"C37R"</f>
        <v>C37R</v>
      </c>
      <c r="K1811" s="1" t="str">
        <f>"C37R"</f>
        <v>C37R</v>
      </c>
      <c r="L1811" s="1" t="str">
        <f t="shared" si="545"/>
        <v>R</v>
      </c>
      <c r="M1811" s="1" t="str">
        <f>"T06"</f>
        <v>T06</v>
      </c>
      <c r="N1811" s="1" t="str">
        <f t="shared" si="546"/>
        <v>Y</v>
      </c>
      <c r="O1811" s="1" t="str">
        <f t="shared" si="549"/>
        <v>Y</v>
      </c>
      <c r="P1811" s="1" t="str">
        <f t="shared" si="544"/>
        <v>Y</v>
      </c>
      <c r="Q1811" s="1" t="str">
        <f t="shared" si="550"/>
        <v>A</v>
      </c>
    </row>
    <row r="1812" spans="1:17" x14ac:dyDescent="0.3">
      <c r="A1812" s="1" t="str">
        <f t="shared" si="547"/>
        <v>R</v>
      </c>
      <c r="B1812" s="1" t="str">
        <f>"PLT201"</f>
        <v>PLT201</v>
      </c>
      <c r="C1812" s="1" t="str">
        <f t="shared" ref="C1812:C1817" si="551">"혈소판감소증의심"</f>
        <v>혈소판감소증의심</v>
      </c>
      <c r="D1812" s="1" t="str">
        <f>"혈액질환에 대한 2차검사를 받으세요."</f>
        <v>혈액질환에 대한 2차검사를 받으세요.</v>
      </c>
      <c r="E1812" s="1" t="str">
        <f>""</f>
        <v/>
      </c>
      <c r="F1812" s="1" t="str">
        <f>""</f>
        <v/>
      </c>
      <c r="G1812" s="1" t="str">
        <f t="shared" ref="G1812:G1817" si="552">"DISD"</f>
        <v>DISD</v>
      </c>
      <c r="H1812" s="1" t="str">
        <f t="shared" ref="H1812:H1824" si="553">"REL12"</f>
        <v>REL12</v>
      </c>
      <c r="I1812" s="1" t="str">
        <f>""</f>
        <v/>
      </c>
      <c r="J1812" s="1" t="str">
        <f t="shared" ref="J1812:K1817" si="554">"C34R"</f>
        <v>C34R</v>
      </c>
      <c r="K1812" s="1" t="str">
        <f t="shared" si="554"/>
        <v>C34R</v>
      </c>
      <c r="L1812" s="1" t="str">
        <f t="shared" si="545"/>
        <v>R</v>
      </c>
      <c r="M1812" s="1" t="str">
        <f t="shared" ref="M1812:M1824" si="555">"T01"</f>
        <v>T01</v>
      </c>
      <c r="N1812" s="1" t="str">
        <f t="shared" si="546"/>
        <v>Y</v>
      </c>
      <c r="O1812" s="1" t="str">
        <f t="shared" si="549"/>
        <v>Y</v>
      </c>
      <c r="P1812" s="1" t="str">
        <f t="shared" si="544"/>
        <v>Y</v>
      </c>
      <c r="Q1812" s="1" t="str">
        <f t="shared" si="550"/>
        <v>A</v>
      </c>
    </row>
    <row r="1813" spans="1:17" x14ac:dyDescent="0.3">
      <c r="A1813" s="1" t="str">
        <f t="shared" si="547"/>
        <v>R</v>
      </c>
      <c r="B1813" s="1" t="str">
        <f>"PLT2011"</f>
        <v>PLT2011</v>
      </c>
      <c r="C1813" s="1" t="str">
        <f t="shared" si="551"/>
        <v>혈소판감소증의심</v>
      </c>
      <c r="D1813" s="1" t="str">
        <f>"혈액 검사 소견에서 이상 소견이 관찰됩니다. 정확한 진단을 위해 조혈기계에 대한 추가적인 검사가 필요합니다."</f>
        <v>혈액 검사 소견에서 이상 소견이 관찰됩니다. 정확한 진단을 위해 조혈기계에 대한 추가적인 검사가 필요합니다.</v>
      </c>
      <c r="E1813" s="1" t="str">
        <f>""</f>
        <v/>
      </c>
      <c r="F1813" s="1" t="str">
        <f>""</f>
        <v/>
      </c>
      <c r="G1813" s="1" t="str">
        <f t="shared" si="552"/>
        <v>DISD</v>
      </c>
      <c r="H1813" s="1" t="str">
        <f t="shared" si="553"/>
        <v>REL12</v>
      </c>
      <c r="I1813" s="1" t="str">
        <f>""</f>
        <v/>
      </c>
      <c r="J1813" s="1" t="str">
        <f t="shared" si="554"/>
        <v>C34R</v>
      </c>
      <c r="K1813" s="1" t="str">
        <f t="shared" si="554"/>
        <v>C34R</v>
      </c>
      <c r="L1813" s="1" t="str">
        <f t="shared" si="545"/>
        <v>R</v>
      </c>
      <c r="M1813" s="1" t="str">
        <f t="shared" si="555"/>
        <v>T01</v>
      </c>
      <c r="N1813" s="1" t="str">
        <f t="shared" si="546"/>
        <v>Y</v>
      </c>
      <c r="O1813" s="1" t="str">
        <f t="shared" si="549"/>
        <v>Y</v>
      </c>
      <c r="P1813" s="1" t="str">
        <f t="shared" si="544"/>
        <v>Y</v>
      </c>
      <c r="Q1813" s="1" t="str">
        <f t="shared" si="550"/>
        <v>A</v>
      </c>
    </row>
    <row r="1814" spans="1:17" x14ac:dyDescent="0.3">
      <c r="A1814" s="1" t="str">
        <f t="shared" si="547"/>
        <v>R</v>
      </c>
      <c r="B1814" s="1" t="str">
        <f>"PLT2012"</f>
        <v>PLT2012</v>
      </c>
      <c r="C1814" s="1" t="str">
        <f t="shared" si="551"/>
        <v>혈소판감소증의심</v>
      </c>
      <c r="D1814" s="1" t="str">
        <f>"혈액 검사 소견에서 이상 소견이 관찰됩니다. 정확한 진단을 위해 조혈기계에 대한 추가적인 검사가 필요합니다."</f>
        <v>혈액 검사 소견에서 이상 소견이 관찰됩니다. 정확한 진단을 위해 조혈기계에 대한 추가적인 검사가 필요합니다.</v>
      </c>
      <c r="E1814" s="1" t="str">
        <f>""</f>
        <v/>
      </c>
      <c r="F1814" s="1" t="str">
        <f>""</f>
        <v/>
      </c>
      <c r="G1814" s="1" t="str">
        <f t="shared" si="552"/>
        <v>DISD</v>
      </c>
      <c r="H1814" s="1" t="str">
        <f t="shared" si="553"/>
        <v>REL12</v>
      </c>
      <c r="I1814" s="1" t="str">
        <f>""</f>
        <v/>
      </c>
      <c r="J1814" s="1" t="str">
        <f t="shared" si="554"/>
        <v>C34R</v>
      </c>
      <c r="K1814" s="1" t="str">
        <f t="shared" si="554"/>
        <v>C34R</v>
      </c>
      <c r="L1814" s="1" t="str">
        <f t="shared" si="545"/>
        <v>R</v>
      </c>
      <c r="M1814" s="1" t="str">
        <f t="shared" si="555"/>
        <v>T01</v>
      </c>
      <c r="N1814" s="1" t="str">
        <f t="shared" si="546"/>
        <v>Y</v>
      </c>
      <c r="O1814" s="1" t="str">
        <f t="shared" si="549"/>
        <v>Y</v>
      </c>
      <c r="P1814" s="1" t="str">
        <f t="shared" si="544"/>
        <v>Y</v>
      </c>
      <c r="Q1814" s="1" t="str">
        <f t="shared" si="550"/>
        <v>A</v>
      </c>
    </row>
    <row r="1815" spans="1:17" x14ac:dyDescent="0.3">
      <c r="A1815" s="1" t="str">
        <f t="shared" si="547"/>
        <v>R</v>
      </c>
      <c r="B1815" s="1" t="str">
        <f>"PLT2013"</f>
        <v>PLT2013</v>
      </c>
      <c r="C1815" s="1" t="str">
        <f t="shared" si="551"/>
        <v>혈소판감소증의심</v>
      </c>
      <c r="D1815" s="1" t="str">
        <f>"혈액 검사 소견에서 이상 소견이 관찰됩니다. 정확한 진단을 위해 조혈기계에 대한 추가적인 검사가 필요합니다."</f>
        <v>혈액 검사 소견에서 이상 소견이 관찰됩니다. 정확한 진단을 위해 조혈기계에 대한 추가적인 검사가 필요합니다.</v>
      </c>
      <c r="E1815" s="1" t="str">
        <f>""</f>
        <v/>
      </c>
      <c r="F1815" s="1" t="str">
        <f>""</f>
        <v/>
      </c>
      <c r="G1815" s="1" t="str">
        <f t="shared" si="552"/>
        <v>DISD</v>
      </c>
      <c r="H1815" s="1" t="str">
        <f t="shared" si="553"/>
        <v>REL12</v>
      </c>
      <c r="I1815" s="1" t="str">
        <f>""</f>
        <v/>
      </c>
      <c r="J1815" s="1" t="str">
        <f t="shared" si="554"/>
        <v>C34R</v>
      </c>
      <c r="K1815" s="1" t="str">
        <f t="shared" si="554"/>
        <v>C34R</v>
      </c>
      <c r="L1815" s="1" t="str">
        <f t="shared" si="545"/>
        <v>R</v>
      </c>
      <c r="M1815" s="1" t="str">
        <f t="shared" si="555"/>
        <v>T01</v>
      </c>
      <c r="N1815" s="1" t="str">
        <f t="shared" si="546"/>
        <v>Y</v>
      </c>
      <c r="O1815" s="1" t="str">
        <f t="shared" si="549"/>
        <v>Y</v>
      </c>
      <c r="P1815" s="1" t="str">
        <f t="shared" si="544"/>
        <v>Y</v>
      </c>
      <c r="Q1815" s="1" t="str">
        <f t="shared" si="550"/>
        <v>A</v>
      </c>
    </row>
    <row r="1816" spans="1:17" x14ac:dyDescent="0.3">
      <c r="A1816" s="1" t="str">
        <f t="shared" si="547"/>
        <v>R</v>
      </c>
      <c r="B1816" s="1" t="str">
        <f>"PLT2014"</f>
        <v>PLT2014</v>
      </c>
      <c r="C1816" s="1" t="str">
        <f t="shared" si="551"/>
        <v>혈소판감소증의심</v>
      </c>
      <c r="D1816" s="1" t="str">
        <f>"혈액 검사 소견에서 이상 소견이 관찰됩니다. 정확한 진단을 위해 조혈기계에 대한 추가적인 검사가 필요합니다."</f>
        <v>혈액 검사 소견에서 이상 소견이 관찰됩니다. 정확한 진단을 위해 조혈기계에 대한 추가적인 검사가 필요합니다.</v>
      </c>
      <c r="E1816" s="1" t="str">
        <f>""</f>
        <v/>
      </c>
      <c r="F1816" s="1" t="str">
        <f>""</f>
        <v/>
      </c>
      <c r="G1816" s="1" t="str">
        <f t="shared" si="552"/>
        <v>DISD</v>
      </c>
      <c r="H1816" s="1" t="str">
        <f t="shared" si="553"/>
        <v>REL12</v>
      </c>
      <c r="I1816" s="1" t="str">
        <f>""</f>
        <v/>
      </c>
      <c r="J1816" s="1" t="str">
        <f t="shared" si="554"/>
        <v>C34R</v>
      </c>
      <c r="K1816" s="1" t="str">
        <f t="shared" si="554"/>
        <v>C34R</v>
      </c>
      <c r="L1816" s="1" t="str">
        <f t="shared" si="545"/>
        <v>R</v>
      </c>
      <c r="M1816" s="1" t="str">
        <f t="shared" si="555"/>
        <v>T01</v>
      </c>
      <c r="N1816" s="1" t="str">
        <f t="shared" si="546"/>
        <v>Y</v>
      </c>
      <c r="O1816" s="1" t="str">
        <f t="shared" si="549"/>
        <v>Y</v>
      </c>
      <c r="P1816" s="1" t="str">
        <f t="shared" si="544"/>
        <v>Y</v>
      </c>
      <c r="Q1816" s="1" t="str">
        <f t="shared" si="550"/>
        <v>A</v>
      </c>
    </row>
    <row r="1817" spans="1:17" x14ac:dyDescent="0.3">
      <c r="A1817" s="1" t="str">
        <f t="shared" si="547"/>
        <v>R</v>
      </c>
      <c r="B1817" s="1" t="str">
        <f>"PLT2015"</f>
        <v>PLT2015</v>
      </c>
      <c r="C1817" s="1" t="str">
        <f t="shared" si="551"/>
        <v>혈소판감소증의심</v>
      </c>
      <c r="D1817" s="1" t="str">
        <f>"혈액 검사 소견에서 이상 소견이 관찰됩니다. 정확한 진단을 위해 조혈기계에 대한 추가적인 검사가 필요합니다."</f>
        <v>혈액 검사 소견에서 이상 소견이 관찰됩니다. 정확한 진단을 위해 조혈기계에 대한 추가적인 검사가 필요합니다.</v>
      </c>
      <c r="E1817" s="1" t="str">
        <f>""</f>
        <v/>
      </c>
      <c r="F1817" s="1" t="str">
        <f>""</f>
        <v/>
      </c>
      <c r="G1817" s="1" t="str">
        <f t="shared" si="552"/>
        <v>DISD</v>
      </c>
      <c r="H1817" s="1" t="str">
        <f t="shared" si="553"/>
        <v>REL12</v>
      </c>
      <c r="I1817" s="1" t="str">
        <f>""</f>
        <v/>
      </c>
      <c r="J1817" s="1" t="str">
        <f t="shared" si="554"/>
        <v>C34R</v>
      </c>
      <c r="K1817" s="1" t="str">
        <f t="shared" si="554"/>
        <v>C34R</v>
      </c>
      <c r="L1817" s="1" t="str">
        <f t="shared" si="545"/>
        <v>R</v>
      </c>
      <c r="M1817" s="1" t="str">
        <f t="shared" si="555"/>
        <v>T01</v>
      </c>
      <c r="N1817" s="1" t="str">
        <f t="shared" si="546"/>
        <v>Y</v>
      </c>
      <c r="O1817" s="1" t="str">
        <f t="shared" si="549"/>
        <v>Y</v>
      </c>
      <c r="P1817" s="1" t="str">
        <f t="shared" si="544"/>
        <v>Y</v>
      </c>
      <c r="Q1817" s="1" t="str">
        <f t="shared" si="550"/>
        <v>A</v>
      </c>
    </row>
    <row r="1818" spans="1:17" x14ac:dyDescent="0.3">
      <c r="A1818" s="1" t="str">
        <f t="shared" si="547"/>
        <v>R</v>
      </c>
      <c r="B1818" s="1" t="str">
        <f>"PLT2016"</f>
        <v>PLT2016</v>
      </c>
      <c r="C1818" s="1" t="str">
        <f>"혈소판감소증의심(방사선관련)"</f>
        <v>혈소판감소증의심(방사선관련)</v>
      </c>
      <c r="D1818" s="1" t="str">
        <f>"혈소판 감소증이 의심됩니다. 추가검사(말초혈액도말검사 등) 필요합니다."</f>
        <v>혈소판 감소증이 의심됩니다. 추가검사(말초혈액도말검사 등) 필요합니다.</v>
      </c>
      <c r="E1818" s="1" t="str">
        <f>""</f>
        <v/>
      </c>
      <c r="F1818" s="1" t="str">
        <f>""</f>
        <v/>
      </c>
      <c r="G1818" s="1" t="str">
        <f>"DIS151"</f>
        <v>DIS151</v>
      </c>
      <c r="H1818" s="1" t="str">
        <f t="shared" si="553"/>
        <v>REL12</v>
      </c>
      <c r="I1818" s="1" t="str">
        <f>""</f>
        <v/>
      </c>
      <c r="J1818" s="1" t="str">
        <f>""</f>
        <v/>
      </c>
      <c r="K1818" s="1" t="str">
        <f>""</f>
        <v/>
      </c>
      <c r="L1818" s="1" t="str">
        <f t="shared" si="545"/>
        <v>R</v>
      </c>
      <c r="M1818" s="1" t="str">
        <f t="shared" si="555"/>
        <v>T01</v>
      </c>
      <c r="N1818" s="1" t="str">
        <f t="shared" si="546"/>
        <v>Y</v>
      </c>
      <c r="O1818" s="1" t="str">
        <f t="shared" si="549"/>
        <v>Y</v>
      </c>
      <c r="P1818" s="1" t="str">
        <f t="shared" si="544"/>
        <v>Y</v>
      </c>
      <c r="Q1818" s="1" t="str">
        <f t="shared" si="550"/>
        <v>A</v>
      </c>
    </row>
    <row r="1819" spans="1:17" x14ac:dyDescent="0.3">
      <c r="A1819" s="1" t="str">
        <f t="shared" si="547"/>
        <v>R</v>
      </c>
      <c r="B1819" s="1" t="str">
        <f>"PLT202"</f>
        <v>PLT202</v>
      </c>
      <c r="C1819" s="1" t="str">
        <f t="shared" ref="C1819:C1824" si="556">"혈소판증가증의심"</f>
        <v>혈소판증가증의심</v>
      </c>
      <c r="D1819" s="1" t="str">
        <f>"혈액질환에 대한 2차검사를 받으세요."</f>
        <v>혈액질환에 대한 2차검사를 받으세요.</v>
      </c>
      <c r="E1819" s="1" t="str">
        <f>""</f>
        <v/>
      </c>
      <c r="F1819" s="1" t="str">
        <f>""</f>
        <v/>
      </c>
      <c r="G1819" s="1" t="str">
        <f t="shared" ref="G1819:G1824" si="557">"DISD"</f>
        <v>DISD</v>
      </c>
      <c r="H1819" s="1" t="str">
        <f t="shared" si="553"/>
        <v>REL12</v>
      </c>
      <c r="I1819" s="1" t="str">
        <f>""</f>
        <v/>
      </c>
      <c r="J1819" s="1" t="str">
        <f t="shared" ref="J1819:K1824" si="558">"C34R"</f>
        <v>C34R</v>
      </c>
      <c r="K1819" s="1" t="str">
        <f t="shared" si="558"/>
        <v>C34R</v>
      </c>
      <c r="L1819" s="1" t="str">
        <f t="shared" si="545"/>
        <v>R</v>
      </c>
      <c r="M1819" s="1" t="str">
        <f t="shared" si="555"/>
        <v>T01</v>
      </c>
      <c r="N1819" s="1" t="str">
        <f t="shared" si="546"/>
        <v>Y</v>
      </c>
      <c r="O1819" s="1" t="str">
        <f t="shared" si="549"/>
        <v>Y</v>
      </c>
      <c r="P1819" s="1" t="str">
        <f t="shared" si="544"/>
        <v>Y</v>
      </c>
      <c r="Q1819" s="1" t="str">
        <f t="shared" si="550"/>
        <v>A</v>
      </c>
    </row>
    <row r="1820" spans="1:17" x14ac:dyDescent="0.3">
      <c r="A1820" s="1" t="str">
        <f t="shared" si="547"/>
        <v>R</v>
      </c>
      <c r="B1820" s="1" t="str">
        <f>"PLT2021"</f>
        <v>PLT2021</v>
      </c>
      <c r="C1820" s="1" t="str">
        <f t="shared" si="556"/>
        <v>혈소판증가증의심</v>
      </c>
      <c r="D1820" s="1" t="str">
        <f>"혈액 검사 소견에서 이상 소견이 관찰됩니다. 정확한 진단을 위해 조혈기계에 대한 추가적인 검사가 필요합니다."</f>
        <v>혈액 검사 소견에서 이상 소견이 관찰됩니다. 정확한 진단을 위해 조혈기계에 대한 추가적인 검사가 필요합니다.</v>
      </c>
      <c r="E1820" s="1" t="str">
        <f>""</f>
        <v/>
      </c>
      <c r="F1820" s="1" t="str">
        <f>""</f>
        <v/>
      </c>
      <c r="G1820" s="1" t="str">
        <f t="shared" si="557"/>
        <v>DISD</v>
      </c>
      <c r="H1820" s="1" t="str">
        <f t="shared" si="553"/>
        <v>REL12</v>
      </c>
      <c r="I1820" s="1" t="str">
        <f>""</f>
        <v/>
      </c>
      <c r="J1820" s="1" t="str">
        <f t="shared" si="558"/>
        <v>C34R</v>
      </c>
      <c r="K1820" s="1" t="str">
        <f t="shared" si="558"/>
        <v>C34R</v>
      </c>
      <c r="L1820" s="1" t="str">
        <f t="shared" si="545"/>
        <v>R</v>
      </c>
      <c r="M1820" s="1" t="str">
        <f t="shared" si="555"/>
        <v>T01</v>
      </c>
      <c r="N1820" s="1" t="str">
        <f t="shared" si="546"/>
        <v>Y</v>
      </c>
      <c r="O1820" s="1" t="str">
        <f t="shared" si="549"/>
        <v>Y</v>
      </c>
      <c r="P1820" s="1" t="str">
        <f t="shared" si="544"/>
        <v>Y</v>
      </c>
      <c r="Q1820" s="1" t="str">
        <f t="shared" si="550"/>
        <v>A</v>
      </c>
    </row>
    <row r="1821" spans="1:17" x14ac:dyDescent="0.3">
      <c r="A1821" s="1" t="str">
        <f t="shared" si="547"/>
        <v>R</v>
      </c>
      <c r="B1821" s="1" t="str">
        <f>"PLT2022"</f>
        <v>PLT2022</v>
      </c>
      <c r="C1821" s="1" t="str">
        <f t="shared" si="556"/>
        <v>혈소판증가증의심</v>
      </c>
      <c r="D1821" s="1" t="str">
        <f>"혈액 검사 소견에서 이상 소견이 관찰됩니다. 정확한 진단을 위해 조혈기계에 대한 추가적인 검사가 필요합니다."</f>
        <v>혈액 검사 소견에서 이상 소견이 관찰됩니다. 정확한 진단을 위해 조혈기계에 대한 추가적인 검사가 필요합니다.</v>
      </c>
      <c r="E1821" s="1" t="str">
        <f>""</f>
        <v/>
      </c>
      <c r="F1821" s="1" t="str">
        <f>""</f>
        <v/>
      </c>
      <c r="G1821" s="1" t="str">
        <f t="shared" si="557"/>
        <v>DISD</v>
      </c>
      <c r="H1821" s="1" t="str">
        <f t="shared" si="553"/>
        <v>REL12</v>
      </c>
      <c r="I1821" s="1" t="str">
        <f>""</f>
        <v/>
      </c>
      <c r="J1821" s="1" t="str">
        <f t="shared" si="558"/>
        <v>C34R</v>
      </c>
      <c r="K1821" s="1" t="str">
        <f t="shared" si="558"/>
        <v>C34R</v>
      </c>
      <c r="L1821" s="1" t="str">
        <f t="shared" si="545"/>
        <v>R</v>
      </c>
      <c r="M1821" s="1" t="str">
        <f t="shared" si="555"/>
        <v>T01</v>
      </c>
      <c r="N1821" s="1" t="str">
        <f t="shared" si="546"/>
        <v>Y</v>
      </c>
      <c r="O1821" s="1" t="str">
        <f t="shared" si="549"/>
        <v>Y</v>
      </c>
      <c r="P1821" s="1" t="str">
        <f t="shared" si="544"/>
        <v>Y</v>
      </c>
      <c r="Q1821" s="1" t="str">
        <f t="shared" si="550"/>
        <v>A</v>
      </c>
    </row>
    <row r="1822" spans="1:17" x14ac:dyDescent="0.3">
      <c r="A1822" s="1" t="str">
        <f t="shared" si="547"/>
        <v>R</v>
      </c>
      <c r="B1822" s="1" t="str">
        <f>"PLT2023"</f>
        <v>PLT2023</v>
      </c>
      <c r="C1822" s="1" t="str">
        <f t="shared" si="556"/>
        <v>혈소판증가증의심</v>
      </c>
      <c r="D1822" s="1" t="str">
        <f>"혈액 검사 소견에서 이상 소견이 관찰됩니다. 정확한 진단을 위해 조혈기계에 대한 추가적인 검사가 필요합니다."</f>
        <v>혈액 검사 소견에서 이상 소견이 관찰됩니다. 정확한 진단을 위해 조혈기계에 대한 추가적인 검사가 필요합니다.</v>
      </c>
      <c r="E1822" s="1" t="str">
        <f>""</f>
        <v/>
      </c>
      <c r="F1822" s="1" t="str">
        <f>""</f>
        <v/>
      </c>
      <c r="G1822" s="1" t="str">
        <f t="shared" si="557"/>
        <v>DISD</v>
      </c>
      <c r="H1822" s="1" t="str">
        <f t="shared" si="553"/>
        <v>REL12</v>
      </c>
      <c r="I1822" s="1" t="str">
        <f>""</f>
        <v/>
      </c>
      <c r="J1822" s="1" t="str">
        <f t="shared" si="558"/>
        <v>C34R</v>
      </c>
      <c r="K1822" s="1" t="str">
        <f t="shared" si="558"/>
        <v>C34R</v>
      </c>
      <c r="L1822" s="1" t="str">
        <f t="shared" si="545"/>
        <v>R</v>
      </c>
      <c r="M1822" s="1" t="str">
        <f t="shared" si="555"/>
        <v>T01</v>
      </c>
      <c r="N1822" s="1" t="str">
        <f t="shared" si="546"/>
        <v>Y</v>
      </c>
      <c r="O1822" s="1" t="str">
        <f t="shared" si="549"/>
        <v>Y</v>
      </c>
      <c r="P1822" s="1" t="str">
        <f t="shared" si="544"/>
        <v>Y</v>
      </c>
      <c r="Q1822" s="1" t="str">
        <f t="shared" si="550"/>
        <v>A</v>
      </c>
    </row>
    <row r="1823" spans="1:17" x14ac:dyDescent="0.3">
      <c r="A1823" s="1" t="str">
        <f t="shared" si="547"/>
        <v>R</v>
      </c>
      <c r="B1823" s="1" t="str">
        <f>"PLT2024"</f>
        <v>PLT2024</v>
      </c>
      <c r="C1823" s="1" t="str">
        <f t="shared" si="556"/>
        <v>혈소판증가증의심</v>
      </c>
      <c r="D1823" s="1" t="str">
        <f>"혈액 검사 소견에서 이상 소견이 관찰됩니다. 정확한 진단을 위해 조혈기계에 대한 추가적인 검사가 필요합니다."</f>
        <v>혈액 검사 소견에서 이상 소견이 관찰됩니다. 정확한 진단을 위해 조혈기계에 대한 추가적인 검사가 필요합니다.</v>
      </c>
      <c r="E1823" s="1" t="str">
        <f>""</f>
        <v/>
      </c>
      <c r="F1823" s="1" t="str">
        <f>""</f>
        <v/>
      </c>
      <c r="G1823" s="1" t="str">
        <f t="shared" si="557"/>
        <v>DISD</v>
      </c>
      <c r="H1823" s="1" t="str">
        <f t="shared" si="553"/>
        <v>REL12</v>
      </c>
      <c r="I1823" s="1" t="str">
        <f>""</f>
        <v/>
      </c>
      <c r="J1823" s="1" t="str">
        <f t="shared" si="558"/>
        <v>C34R</v>
      </c>
      <c r="K1823" s="1" t="str">
        <f t="shared" si="558"/>
        <v>C34R</v>
      </c>
      <c r="L1823" s="1" t="str">
        <f t="shared" si="545"/>
        <v>R</v>
      </c>
      <c r="M1823" s="1" t="str">
        <f t="shared" si="555"/>
        <v>T01</v>
      </c>
      <c r="N1823" s="1" t="str">
        <f t="shared" si="546"/>
        <v>Y</v>
      </c>
      <c r="O1823" s="1" t="str">
        <f t="shared" si="549"/>
        <v>Y</v>
      </c>
      <c r="P1823" s="1" t="str">
        <f t="shared" si="544"/>
        <v>Y</v>
      </c>
      <c r="Q1823" s="1" t="str">
        <f t="shared" si="550"/>
        <v>A</v>
      </c>
    </row>
    <row r="1824" spans="1:17" x14ac:dyDescent="0.3">
      <c r="A1824" s="1" t="str">
        <f t="shared" si="547"/>
        <v>R</v>
      </c>
      <c r="B1824" s="1" t="str">
        <f>"PLT2025"</f>
        <v>PLT2025</v>
      </c>
      <c r="C1824" s="1" t="str">
        <f t="shared" si="556"/>
        <v>혈소판증가증의심</v>
      </c>
      <c r="D1824" s="1" t="str">
        <f>"혈액 검사 소견에서 이상 소견이 관찰됩니다. 정확한 진단을 위해 조혈기계에 대한 추가적인 검사가 필요합니다."</f>
        <v>혈액 검사 소견에서 이상 소견이 관찰됩니다. 정확한 진단을 위해 조혈기계에 대한 추가적인 검사가 필요합니다.</v>
      </c>
      <c r="E1824" s="1" t="str">
        <f>""</f>
        <v/>
      </c>
      <c r="F1824" s="1" t="str">
        <f>""</f>
        <v/>
      </c>
      <c r="G1824" s="1" t="str">
        <f t="shared" si="557"/>
        <v>DISD</v>
      </c>
      <c r="H1824" s="1" t="str">
        <f t="shared" si="553"/>
        <v>REL12</v>
      </c>
      <c r="I1824" s="1" t="str">
        <f>""</f>
        <v/>
      </c>
      <c r="J1824" s="1" t="str">
        <f t="shared" si="558"/>
        <v>C34R</v>
      </c>
      <c r="K1824" s="1" t="str">
        <f t="shared" si="558"/>
        <v>C34R</v>
      </c>
      <c r="L1824" s="1" t="str">
        <f t="shared" si="545"/>
        <v>R</v>
      </c>
      <c r="M1824" s="1" t="str">
        <f t="shared" si="555"/>
        <v>T01</v>
      </c>
      <c r="N1824" s="1" t="str">
        <f t="shared" si="546"/>
        <v>Y</v>
      </c>
      <c r="O1824" s="1" t="str">
        <f t="shared" si="549"/>
        <v>Y</v>
      </c>
      <c r="P1824" s="1" t="str">
        <f t="shared" si="544"/>
        <v>Y</v>
      </c>
      <c r="Q1824" s="1" t="str">
        <f t="shared" si="550"/>
        <v>A</v>
      </c>
    </row>
    <row r="1825" spans="1:17" x14ac:dyDescent="0.3">
      <c r="A1825" s="1" t="str">
        <f t="shared" si="547"/>
        <v>R</v>
      </c>
      <c r="B1825" s="1" t="str">
        <f>"PUL404"</f>
        <v>PUL404</v>
      </c>
      <c r="C1825" s="1" t="str">
        <f>"미만성 폐기종"</f>
        <v>미만성 폐기종</v>
      </c>
      <c r="D1825" s="1" t="str">
        <f>"호흡기내과 진료를 받으세요."</f>
        <v>호흡기내과 진료를 받으세요.</v>
      </c>
      <c r="E1825" s="1" t="str">
        <f>""</f>
        <v/>
      </c>
      <c r="F1825" s="1" t="str">
        <f>"PTM04"</f>
        <v>PTM04</v>
      </c>
      <c r="G1825" s="1" t="str">
        <f>"DISJ"</f>
        <v>DISJ</v>
      </c>
      <c r="H1825" s="1" t="str">
        <f>"REL02"</f>
        <v>REL02</v>
      </c>
      <c r="I1825" s="1" t="str">
        <f>""</f>
        <v/>
      </c>
      <c r="J1825" s="1" t="str">
        <f>"C02R"</f>
        <v>C02R</v>
      </c>
      <c r="K1825" s="1" t="str">
        <f>"C02R"</f>
        <v>C02R</v>
      </c>
      <c r="L1825" s="1" t="str">
        <f t="shared" si="545"/>
        <v>R</v>
      </c>
      <c r="M1825" s="1" t="str">
        <f>"T04"</f>
        <v>T04</v>
      </c>
      <c r="N1825" s="1" t="str">
        <f t="shared" si="546"/>
        <v>Y</v>
      </c>
      <c r="O1825" s="1" t="str">
        <f t="shared" si="549"/>
        <v>Y</v>
      </c>
      <c r="P1825" s="1" t="str">
        <f t="shared" si="544"/>
        <v>Y</v>
      </c>
      <c r="Q1825" s="1" t="str">
        <f t="shared" si="550"/>
        <v>A</v>
      </c>
    </row>
    <row r="1826" spans="1:17" x14ac:dyDescent="0.3">
      <c r="A1826" s="1" t="str">
        <f t="shared" si="547"/>
        <v>R</v>
      </c>
      <c r="B1826" s="1" t="str">
        <f>"SEM115"</f>
        <v>SEM115</v>
      </c>
      <c r="C1826" s="1" t="str">
        <f>"요중NMF 초과"</f>
        <v>요중NMF 초과</v>
      </c>
      <c r="D1826" s="1" t="str">
        <f>"DMF취급 작업배치제한 및 추적관찰 요함"</f>
        <v>DMF취급 작업배치제한 및 추적관찰 요함</v>
      </c>
      <c r="E1826" s="1" t="str">
        <f>""</f>
        <v/>
      </c>
      <c r="F1826" s="1" t="str">
        <f>"PTM03"</f>
        <v>PTM03</v>
      </c>
      <c r="G1826" s="1" t="str">
        <f>"DISZ"</f>
        <v>DISZ</v>
      </c>
      <c r="H1826" s="1" t="str">
        <f>"REL17"</f>
        <v>REL17</v>
      </c>
      <c r="I1826" s="1" t="str">
        <f>"N0015"</f>
        <v>N0015</v>
      </c>
      <c r="J1826" s="1" t="str">
        <f>"S01R"</f>
        <v>S01R</v>
      </c>
      <c r="K1826" s="1" t="str">
        <f>"S01R"</f>
        <v>S01R</v>
      </c>
      <c r="L1826" s="1" t="str">
        <f t="shared" si="545"/>
        <v>R</v>
      </c>
      <c r="M1826" s="1" t="str">
        <f>"T12"</f>
        <v>T12</v>
      </c>
      <c r="N1826" s="1" t="str">
        <f t="shared" si="546"/>
        <v>Y</v>
      </c>
      <c r="O1826" s="1" t="str">
        <f t="shared" si="549"/>
        <v>Y</v>
      </c>
      <c r="P1826" s="1" t="str">
        <f t="shared" si="544"/>
        <v>Y</v>
      </c>
      <c r="Q1826" s="1" t="str">
        <f t="shared" si="550"/>
        <v>A</v>
      </c>
    </row>
    <row r="1827" spans="1:17" x14ac:dyDescent="0.3">
      <c r="A1827" s="1" t="str">
        <f t="shared" si="547"/>
        <v>R</v>
      </c>
      <c r="B1827" s="1" t="str">
        <f>"TBC302H"</f>
        <v>TBC302H</v>
      </c>
      <c r="C1827" s="1" t="str">
        <f>"폐결핵 의증"</f>
        <v>폐결핵 의증</v>
      </c>
      <c r="D1827" s="1" t="str">
        <f>"폐결핵이 의심됩니다. 정밀검사가 필요하니 내과 진료를 받으시기 바랍니다."</f>
        <v>폐결핵이 의심됩니다. 정밀검사가 필요하니 내과 진료를 받으시기 바랍니다.</v>
      </c>
      <c r="E1827" s="1" t="str">
        <f>"WOK02"</f>
        <v>WOK02</v>
      </c>
      <c r="F1827" s="1" t="str">
        <f>"PTM04"</f>
        <v>PTM04</v>
      </c>
      <c r="G1827" s="1" t="str">
        <f>"DISJ"</f>
        <v>DISJ</v>
      </c>
      <c r="H1827" s="1" t="str">
        <f>"REL01"</f>
        <v>REL01</v>
      </c>
      <c r="I1827" s="1" t="str">
        <f>""</f>
        <v/>
      </c>
      <c r="J1827" s="1" t="str">
        <f>"C01C"</f>
        <v>C01C</v>
      </c>
      <c r="K1827" s="1" t="str">
        <f>"C01C"</f>
        <v>C01C</v>
      </c>
      <c r="L1827" s="1" t="str">
        <f t="shared" si="545"/>
        <v>R</v>
      </c>
      <c r="M1827" s="1" t="str">
        <f>"T04"</f>
        <v>T04</v>
      </c>
      <c r="N1827" s="1" t="str">
        <f t="shared" si="546"/>
        <v>Y</v>
      </c>
      <c r="O1827" s="1" t="str">
        <f t="shared" si="549"/>
        <v>Y</v>
      </c>
      <c r="P1827" s="1" t="str">
        <f t="shared" si="544"/>
        <v>Y</v>
      </c>
      <c r="Q1827" s="1" t="str">
        <f t="shared" si="550"/>
        <v>A</v>
      </c>
    </row>
    <row r="1828" spans="1:17" x14ac:dyDescent="0.3">
      <c r="A1828" s="1" t="str">
        <f t="shared" si="547"/>
        <v>R</v>
      </c>
      <c r="B1828" s="1" t="str">
        <f>"TBC501"</f>
        <v>TBC501</v>
      </c>
      <c r="C1828" s="1" t="str">
        <f>"폐결핵의심"</f>
        <v>폐결핵의심</v>
      </c>
      <c r="D1828" s="1" t="str">
        <f>"폐결핵의심됩니다. 빠른시일 내 가까운 병원에 방문하시어 확진검사를 받으세요."</f>
        <v>폐결핵의심됩니다. 빠른시일 내 가까운 병원에 방문하시어 확진검사를 받으세요.</v>
      </c>
      <c r="E1828" s="1" t="str">
        <f>""</f>
        <v/>
      </c>
      <c r="F1828" s="1" t="str">
        <f>""</f>
        <v/>
      </c>
      <c r="G1828" s="1" t="str">
        <f>"DISJ"</f>
        <v>DISJ</v>
      </c>
      <c r="H1828" s="1" t="str">
        <f>"REL01"</f>
        <v>REL01</v>
      </c>
      <c r="I1828" s="1" t="str">
        <f>""</f>
        <v/>
      </c>
      <c r="J1828" s="1" t="str">
        <f>"C01R"</f>
        <v>C01R</v>
      </c>
      <c r="K1828" s="1" t="str">
        <f>"C01R"</f>
        <v>C01R</v>
      </c>
      <c r="L1828" s="1" t="str">
        <f t="shared" si="545"/>
        <v>R</v>
      </c>
      <c r="M1828" s="1" t="str">
        <f>"T04"</f>
        <v>T04</v>
      </c>
      <c r="N1828" s="1" t="str">
        <f t="shared" si="546"/>
        <v>Y</v>
      </c>
      <c r="O1828" s="1" t="str">
        <f t="shared" si="549"/>
        <v>Y</v>
      </c>
      <c r="P1828" s="1" t="str">
        <f t="shared" si="544"/>
        <v>Y</v>
      </c>
      <c r="Q1828" s="1" t="str">
        <f t="shared" si="550"/>
        <v>A</v>
      </c>
    </row>
    <row r="1829" spans="1:17" x14ac:dyDescent="0.3">
      <c r="A1829" s="1" t="str">
        <f t="shared" si="547"/>
        <v>R</v>
      </c>
      <c r="B1829" s="1" t="str">
        <f>"THY302"</f>
        <v>THY302</v>
      </c>
      <c r="C1829" s="1" t="str">
        <f>"갑상선 기능 검사상 이상"</f>
        <v>갑상선 기능 검사상 이상</v>
      </c>
      <c r="D1829" s="1" t="str">
        <f>"갑상선 기능 검사에 약간의 이상이 있습니다. 재검사 바랍니다."</f>
        <v>갑상선 기능 검사에 약간의 이상이 있습니다. 재검사 바랍니다.</v>
      </c>
      <c r="E1829" s="1" t="str">
        <f>""</f>
        <v/>
      </c>
      <c r="F1829" s="1" t="str">
        <f>""</f>
        <v/>
      </c>
      <c r="G1829" s="1" t="str">
        <f>"DISE"</f>
        <v>DISE</v>
      </c>
      <c r="H1829" s="1" t="str">
        <f>"REL23"</f>
        <v>REL23</v>
      </c>
      <c r="I1829" s="1" t="str">
        <f>""</f>
        <v/>
      </c>
      <c r="J1829" s="1" t="str">
        <f>"C35R"</f>
        <v>C35R</v>
      </c>
      <c r="K1829" s="1" t="str">
        <f>"C35R"</f>
        <v>C35R</v>
      </c>
      <c r="L1829" s="1" t="str">
        <f t="shared" si="545"/>
        <v>R</v>
      </c>
      <c r="M1829" s="1" t="str">
        <f>""</f>
        <v/>
      </c>
      <c r="N1829" s="1" t="str">
        <f t="shared" si="546"/>
        <v>Y</v>
      </c>
      <c r="O1829" s="1" t="str">
        <f t="shared" si="549"/>
        <v>Y</v>
      </c>
      <c r="P1829" s="1" t="str">
        <f t="shared" si="544"/>
        <v>Y</v>
      </c>
      <c r="Q1829" s="1" t="str">
        <f t="shared" si="550"/>
        <v>A</v>
      </c>
    </row>
    <row r="1830" spans="1:17" x14ac:dyDescent="0.3">
      <c r="A1830" s="1" t="str">
        <f t="shared" si="547"/>
        <v>R</v>
      </c>
      <c r="B1830" s="1" t="str">
        <f>"TRIJC01"</f>
        <v>TRIJC01</v>
      </c>
      <c r="C1830" s="1" t="str">
        <f>"중성지방상승"</f>
        <v>중성지방상승</v>
      </c>
      <c r="D1830" s="1" t="str">
        <f>"혈중 중성지방이 증가되어 있습니다. 혈중 중성지방은 대부분 섭취한 음식과 관련이 있습니다. 쌀밥이나 밀가루 음식과 같은 탄수화물도 과도섭취하면 중성지방치가 높아집니다. 상담을 위해 내원하시기 바랍니다."</f>
        <v>혈중 중성지방이 증가되어 있습니다. 혈중 중성지방은 대부분 섭취한 음식과 관련이 있습니다. 쌀밥이나 밀가루 음식과 같은 탄수화물도 과도섭취하면 중성지방치가 높아집니다. 상담을 위해 내원하시기 바랍니다.</v>
      </c>
      <c r="E1830" s="1" t="str">
        <f>"WOK02"</f>
        <v>WOK02</v>
      </c>
      <c r="F1830" s="1" t="str">
        <f>"PTM01"</f>
        <v>PTM01</v>
      </c>
      <c r="G1830" s="1" t="str">
        <f>"DISE"</f>
        <v>DISE</v>
      </c>
      <c r="H1830" s="1" t="str">
        <f>"REL04"</f>
        <v>REL04</v>
      </c>
      <c r="I1830" s="1" t="str">
        <f>""</f>
        <v/>
      </c>
      <c r="J1830" s="1" t="str">
        <f>""</f>
        <v/>
      </c>
      <c r="K1830" s="1" t="str">
        <f>""</f>
        <v/>
      </c>
      <c r="L1830" s="1" t="str">
        <f t="shared" si="545"/>
        <v>R</v>
      </c>
      <c r="M1830" s="1" t="str">
        <f>"T03"</f>
        <v>T03</v>
      </c>
      <c r="N1830" s="1" t="str">
        <f t="shared" si="546"/>
        <v>Y</v>
      </c>
      <c r="O1830" s="1" t="str">
        <f t="shared" si="549"/>
        <v>Y</v>
      </c>
      <c r="P1830" s="1" t="str">
        <f t="shared" si="544"/>
        <v>Y</v>
      </c>
      <c r="Q1830" s="1" t="str">
        <f t="shared" si="550"/>
        <v>A</v>
      </c>
    </row>
    <row r="1831" spans="1:17" x14ac:dyDescent="0.3">
      <c r="A1831" s="1" t="str">
        <f t="shared" si="547"/>
        <v>R</v>
      </c>
      <c r="B1831" s="1" t="str">
        <f>"TUL503"</f>
        <v>TUL503</v>
      </c>
      <c r="C1831" s="1" t="str">
        <f>"사진불량"</f>
        <v>사진불량</v>
      </c>
      <c r="D1831" s="1" t="str">
        <f>"흉부방사선 재촬영 요합니다."</f>
        <v>흉부방사선 재촬영 요합니다.</v>
      </c>
      <c r="E1831" s="1" t="str">
        <f>""</f>
        <v/>
      </c>
      <c r="F1831" s="1" t="str">
        <f>""</f>
        <v/>
      </c>
      <c r="G1831" s="1" t="str">
        <f>""</f>
        <v/>
      </c>
      <c r="H1831" s="1" t="str">
        <f>""</f>
        <v/>
      </c>
      <c r="I1831" s="1" t="str">
        <f>""</f>
        <v/>
      </c>
      <c r="J1831" s="1" t="str">
        <f>""</f>
        <v/>
      </c>
      <c r="K1831" s="1" t="str">
        <f>""</f>
        <v/>
      </c>
      <c r="L1831" s="1" t="str">
        <f t="shared" si="545"/>
        <v>R</v>
      </c>
      <c r="M1831" s="1" t="str">
        <f>""</f>
        <v/>
      </c>
      <c r="N1831" s="1" t="str">
        <f t="shared" si="546"/>
        <v>Y</v>
      </c>
      <c r="O1831" s="1" t="str">
        <f t="shared" si="549"/>
        <v>Y</v>
      </c>
      <c r="P1831" s="1" t="str">
        <f t="shared" si="544"/>
        <v>Y</v>
      </c>
      <c r="Q1831" s="1" t="str">
        <f t="shared" si="550"/>
        <v>A</v>
      </c>
    </row>
    <row r="1832" spans="1:17" x14ac:dyDescent="0.3">
      <c r="A1832" s="1" t="str">
        <f t="shared" si="547"/>
        <v>R</v>
      </c>
      <c r="B1832" s="1" t="str">
        <f>"TUL503H"</f>
        <v>TUL503H</v>
      </c>
      <c r="C1832" s="1" t="str">
        <f>"사진불량"</f>
        <v>사진불량</v>
      </c>
      <c r="D1832" s="1" t="str">
        <f>"흉부방사선 재촬영 요합니다."</f>
        <v>흉부방사선 재촬영 요합니다.</v>
      </c>
      <c r="E1832" s="1" t="str">
        <f>""</f>
        <v/>
      </c>
      <c r="F1832" s="1" t="str">
        <f>""</f>
        <v/>
      </c>
      <c r="G1832" s="1" t="str">
        <f>""</f>
        <v/>
      </c>
      <c r="H1832" s="1" t="str">
        <f>""</f>
        <v/>
      </c>
      <c r="I1832" s="1" t="str">
        <f>""</f>
        <v/>
      </c>
      <c r="J1832" s="1" t="str">
        <f>""</f>
        <v/>
      </c>
      <c r="K1832" s="1" t="str">
        <f>""</f>
        <v/>
      </c>
      <c r="L1832" s="1" t="str">
        <f t="shared" si="545"/>
        <v>R</v>
      </c>
      <c r="M1832" s="1" t="str">
        <f>""</f>
        <v/>
      </c>
      <c r="N1832" s="1" t="str">
        <f t="shared" si="546"/>
        <v>Y</v>
      </c>
      <c r="O1832" s="1" t="str">
        <f t="shared" si="549"/>
        <v>Y</v>
      </c>
      <c r="P1832" s="1" t="str">
        <f t="shared" si="544"/>
        <v>Y</v>
      </c>
      <c r="Q1832" s="1" t="str">
        <f t="shared" si="550"/>
        <v>A</v>
      </c>
    </row>
    <row r="1833" spans="1:17" x14ac:dyDescent="0.3">
      <c r="A1833" s="1" t="str">
        <f t="shared" si="547"/>
        <v>R</v>
      </c>
      <c r="B1833" s="1" t="str">
        <f>"UR01"</f>
        <v>UR01</v>
      </c>
      <c r="C1833" s="1" t="str">
        <f t="shared" ref="C1833:C1839" si="559">"소변검사이상"</f>
        <v>소변검사이상</v>
      </c>
      <c r="D1833" s="1" t="str">
        <f>"소변검사에서 다량의 단백질이 검출되었습니다. 신장질환의 가능성 있습니다. 2차검사가 필요합니다."</f>
        <v>소변검사에서 다량의 단백질이 검출되었습니다. 신장질환의 가능성 있습니다. 2차검사가 필요합니다.</v>
      </c>
      <c r="E1833" s="1" t="str">
        <f>""</f>
        <v/>
      </c>
      <c r="F1833" s="1" t="str">
        <f>""</f>
        <v/>
      </c>
      <c r="G1833" s="1" t="str">
        <f t="shared" ref="G1833:G1839" si="560">"DISN"</f>
        <v>DISN</v>
      </c>
      <c r="H1833" s="1" t="str">
        <f t="shared" ref="H1833:H1839" si="561">"REL08"</f>
        <v>REL08</v>
      </c>
      <c r="I1833" s="1" t="str">
        <f>""</f>
        <v/>
      </c>
      <c r="J1833" s="1" t="str">
        <f t="shared" ref="J1833:J1839" si="562">"C44R"</f>
        <v>C44R</v>
      </c>
      <c r="K1833" s="1" t="str">
        <f t="shared" ref="K1833:K1839" si="563">"N01R"</f>
        <v>N01R</v>
      </c>
      <c r="L1833" s="1" t="str">
        <f t="shared" si="545"/>
        <v>R</v>
      </c>
      <c r="M1833" s="1" t="str">
        <f t="shared" ref="M1833:M1839" si="564">"T05"</f>
        <v>T05</v>
      </c>
      <c r="N1833" s="1" t="str">
        <f t="shared" si="546"/>
        <v>Y</v>
      </c>
      <c r="O1833" s="1" t="str">
        <f t="shared" si="549"/>
        <v>Y</v>
      </c>
      <c r="P1833" s="1" t="str">
        <f t="shared" si="544"/>
        <v>Y</v>
      </c>
      <c r="Q1833" s="1" t="str">
        <f t="shared" si="550"/>
        <v>A</v>
      </c>
    </row>
    <row r="1834" spans="1:17" x14ac:dyDescent="0.3">
      <c r="A1834" s="1" t="str">
        <f t="shared" si="547"/>
        <v>R</v>
      </c>
      <c r="B1834" s="1" t="str">
        <f>"URBIL01"</f>
        <v>URBIL01</v>
      </c>
      <c r="C1834" s="1" t="str">
        <f t="shared" si="559"/>
        <v>소변검사이상</v>
      </c>
      <c r="D1834" s="1" t="str">
        <f>"소변검사에서 빌리루빈이 검출됩니다. 신장 및 비뇨기계에 대한 2차검사(혈액검사 및 소변검사)를 받으시기 바랍니다."</f>
        <v>소변검사에서 빌리루빈이 검출됩니다. 신장 및 비뇨기계에 대한 2차검사(혈액검사 및 소변검사)를 받으시기 바랍니다.</v>
      </c>
      <c r="E1834" s="1" t="str">
        <f>""</f>
        <v/>
      </c>
      <c r="F1834" s="1" t="str">
        <f>""</f>
        <v/>
      </c>
      <c r="G1834" s="1" t="str">
        <f t="shared" si="560"/>
        <v>DISN</v>
      </c>
      <c r="H1834" s="1" t="str">
        <f t="shared" si="561"/>
        <v>REL08</v>
      </c>
      <c r="I1834" s="1" t="str">
        <f>""</f>
        <v/>
      </c>
      <c r="J1834" s="1" t="str">
        <f t="shared" si="562"/>
        <v>C44R</v>
      </c>
      <c r="K1834" s="1" t="str">
        <f t="shared" si="563"/>
        <v>N01R</v>
      </c>
      <c r="L1834" s="1" t="str">
        <f t="shared" si="545"/>
        <v>R</v>
      </c>
      <c r="M1834" s="1" t="str">
        <f t="shared" si="564"/>
        <v>T05</v>
      </c>
      <c r="N1834" s="1" t="str">
        <f t="shared" si="546"/>
        <v>Y</v>
      </c>
      <c r="O1834" s="1" t="str">
        <f t="shared" si="549"/>
        <v>Y</v>
      </c>
      <c r="P1834" s="1" t="str">
        <f t="shared" si="544"/>
        <v>Y</v>
      </c>
      <c r="Q1834" s="1" t="str">
        <f t="shared" si="550"/>
        <v>A</v>
      </c>
    </row>
    <row r="1835" spans="1:17" x14ac:dyDescent="0.3">
      <c r="A1835" s="1" t="str">
        <f t="shared" si="547"/>
        <v>R</v>
      </c>
      <c r="B1835" s="1" t="str">
        <f>"URGLUC01"</f>
        <v>URGLUC01</v>
      </c>
      <c r="C1835" s="1" t="str">
        <f t="shared" si="559"/>
        <v>소변검사이상</v>
      </c>
      <c r="D1835" s="1" t="str">
        <f>"소변검사에서 당 성분이 검출됩니다(요당 양성). 신장 및 비뇨기계에 대한 2차검사(혈액검사 및 소변검사)를 받으시기 바랍니다."</f>
        <v>소변검사에서 당 성분이 검출됩니다(요당 양성). 신장 및 비뇨기계에 대한 2차검사(혈액검사 및 소변검사)를 받으시기 바랍니다.</v>
      </c>
      <c r="E1835" s="1" t="str">
        <f>""</f>
        <v/>
      </c>
      <c r="F1835" s="1" t="str">
        <f>""</f>
        <v/>
      </c>
      <c r="G1835" s="1" t="str">
        <f t="shared" si="560"/>
        <v>DISN</v>
      </c>
      <c r="H1835" s="1" t="str">
        <f t="shared" si="561"/>
        <v>REL08</v>
      </c>
      <c r="I1835" s="1" t="str">
        <f>""</f>
        <v/>
      </c>
      <c r="J1835" s="1" t="str">
        <f t="shared" si="562"/>
        <v>C44R</v>
      </c>
      <c r="K1835" s="1" t="str">
        <f t="shared" si="563"/>
        <v>N01R</v>
      </c>
      <c r="L1835" s="1" t="str">
        <f t="shared" si="545"/>
        <v>R</v>
      </c>
      <c r="M1835" s="1" t="str">
        <f t="shared" si="564"/>
        <v>T05</v>
      </c>
      <c r="N1835" s="1" t="str">
        <f t="shared" si="546"/>
        <v>Y</v>
      </c>
      <c r="O1835" s="1" t="str">
        <f t="shared" si="549"/>
        <v>Y</v>
      </c>
      <c r="P1835" s="1" t="str">
        <f t="shared" si="544"/>
        <v>Y</v>
      </c>
      <c r="Q1835" s="1" t="str">
        <f t="shared" si="550"/>
        <v>A</v>
      </c>
    </row>
    <row r="1836" spans="1:17" x14ac:dyDescent="0.3">
      <c r="A1836" s="1" t="str">
        <f t="shared" si="547"/>
        <v>R</v>
      </c>
      <c r="B1836" s="1" t="str">
        <f>"URKET01"</f>
        <v>URKET01</v>
      </c>
      <c r="C1836" s="1" t="str">
        <f t="shared" si="559"/>
        <v>소변검사이상</v>
      </c>
      <c r="D1836" s="1" t="str">
        <f>"소변검사에서 케톤체가 검출됩니다. 신장 및 비뇨기계에 대한 2차검사(혈액검사 및 소변검사)를 받으시기 바랍니다."</f>
        <v>소변검사에서 케톤체가 검출됩니다. 신장 및 비뇨기계에 대한 2차검사(혈액검사 및 소변검사)를 받으시기 바랍니다.</v>
      </c>
      <c r="E1836" s="1" t="str">
        <f>""</f>
        <v/>
      </c>
      <c r="F1836" s="1" t="str">
        <f>""</f>
        <v/>
      </c>
      <c r="G1836" s="1" t="str">
        <f t="shared" si="560"/>
        <v>DISN</v>
      </c>
      <c r="H1836" s="1" t="str">
        <f t="shared" si="561"/>
        <v>REL08</v>
      </c>
      <c r="I1836" s="1" t="str">
        <f>""</f>
        <v/>
      </c>
      <c r="J1836" s="1" t="str">
        <f t="shared" si="562"/>
        <v>C44R</v>
      </c>
      <c r="K1836" s="1" t="str">
        <f t="shared" si="563"/>
        <v>N01R</v>
      </c>
      <c r="L1836" s="1" t="str">
        <f t="shared" si="545"/>
        <v>R</v>
      </c>
      <c r="M1836" s="1" t="str">
        <f t="shared" si="564"/>
        <v>T05</v>
      </c>
      <c r="N1836" s="1" t="str">
        <f t="shared" si="546"/>
        <v>Y</v>
      </c>
      <c r="O1836" s="1" t="str">
        <f t="shared" si="549"/>
        <v>Y</v>
      </c>
      <c r="P1836" s="1" t="str">
        <f t="shared" si="544"/>
        <v>Y</v>
      </c>
      <c r="Q1836" s="1" t="str">
        <f t="shared" si="550"/>
        <v>A</v>
      </c>
    </row>
    <row r="1837" spans="1:17" x14ac:dyDescent="0.3">
      <c r="A1837" s="1" t="str">
        <f t="shared" si="547"/>
        <v>R</v>
      </c>
      <c r="B1837" s="1" t="str">
        <f>"URNIT01"</f>
        <v>URNIT01</v>
      </c>
      <c r="C1837" s="1" t="str">
        <f t="shared" si="559"/>
        <v>소변검사이상</v>
      </c>
      <c r="D1837" s="1" t="str">
        <f>"소변검사에서 아질산염이 검출됩니다. 신장 및 비뇨기계에 대한 2차검사(혈액검사 및 소변검사)를 받으시기 바랍니다."</f>
        <v>소변검사에서 아질산염이 검출됩니다. 신장 및 비뇨기계에 대한 2차검사(혈액검사 및 소변검사)를 받으시기 바랍니다.</v>
      </c>
      <c r="E1837" s="1" t="str">
        <f>""</f>
        <v/>
      </c>
      <c r="F1837" s="1" t="str">
        <f>""</f>
        <v/>
      </c>
      <c r="G1837" s="1" t="str">
        <f t="shared" si="560"/>
        <v>DISN</v>
      </c>
      <c r="H1837" s="1" t="str">
        <f t="shared" si="561"/>
        <v>REL08</v>
      </c>
      <c r="I1837" s="1" t="str">
        <f>""</f>
        <v/>
      </c>
      <c r="J1837" s="1" t="str">
        <f t="shared" si="562"/>
        <v>C44R</v>
      </c>
      <c r="K1837" s="1" t="str">
        <f t="shared" si="563"/>
        <v>N01R</v>
      </c>
      <c r="L1837" s="1" t="str">
        <f t="shared" si="545"/>
        <v>R</v>
      </c>
      <c r="M1837" s="1" t="str">
        <f t="shared" si="564"/>
        <v>T05</v>
      </c>
      <c r="N1837" s="1" t="str">
        <f t="shared" si="546"/>
        <v>Y</v>
      </c>
      <c r="O1837" s="1" t="str">
        <f t="shared" si="549"/>
        <v>Y</v>
      </c>
      <c r="P1837" s="1" t="str">
        <f t="shared" si="544"/>
        <v>Y</v>
      </c>
      <c r="Q1837" s="1" t="str">
        <f t="shared" si="550"/>
        <v>A</v>
      </c>
    </row>
    <row r="1838" spans="1:17" x14ac:dyDescent="0.3">
      <c r="A1838" s="1" t="str">
        <f t="shared" si="547"/>
        <v>R</v>
      </c>
      <c r="B1838" s="1" t="str">
        <f>"UROBIL01"</f>
        <v>UROBIL01</v>
      </c>
      <c r="C1838" s="1" t="str">
        <f t="shared" si="559"/>
        <v>소변검사이상</v>
      </c>
      <c r="D1838" s="1" t="str">
        <f>"소변검사에서 유로빌리노겐이 검출됩니다. 신장 및 비뇨기계에 대한 2차검사(혈액검사 및 소변검사)를 받으시기 바랍니다."</f>
        <v>소변검사에서 유로빌리노겐이 검출됩니다. 신장 및 비뇨기계에 대한 2차검사(혈액검사 및 소변검사)를 받으시기 바랍니다.</v>
      </c>
      <c r="E1838" s="1" t="str">
        <f>""</f>
        <v/>
      </c>
      <c r="F1838" s="1" t="str">
        <f>""</f>
        <v/>
      </c>
      <c r="G1838" s="1" t="str">
        <f t="shared" si="560"/>
        <v>DISN</v>
      </c>
      <c r="H1838" s="1" t="str">
        <f t="shared" si="561"/>
        <v>REL08</v>
      </c>
      <c r="I1838" s="1" t="str">
        <f>""</f>
        <v/>
      </c>
      <c r="J1838" s="1" t="str">
        <f t="shared" si="562"/>
        <v>C44R</v>
      </c>
      <c r="K1838" s="1" t="str">
        <f t="shared" si="563"/>
        <v>N01R</v>
      </c>
      <c r="L1838" s="1" t="str">
        <f t="shared" si="545"/>
        <v>R</v>
      </c>
      <c r="M1838" s="1" t="str">
        <f t="shared" si="564"/>
        <v>T05</v>
      </c>
      <c r="N1838" s="1" t="str">
        <f t="shared" si="546"/>
        <v>Y</v>
      </c>
      <c r="O1838" s="1" t="str">
        <f t="shared" si="549"/>
        <v>Y</v>
      </c>
      <c r="P1838" s="1" t="str">
        <f t="shared" si="544"/>
        <v>Y</v>
      </c>
      <c r="Q1838" s="1" t="str">
        <f t="shared" si="550"/>
        <v>A</v>
      </c>
    </row>
    <row r="1839" spans="1:17" x14ac:dyDescent="0.3">
      <c r="A1839" s="1" t="str">
        <f t="shared" si="547"/>
        <v>R</v>
      </c>
      <c r="B1839" s="1" t="str">
        <f>"URWBC"</f>
        <v>URWBC</v>
      </c>
      <c r="C1839" s="1" t="str">
        <f t="shared" si="559"/>
        <v>소변검사이상</v>
      </c>
      <c r="D1839" s="1" t="str">
        <f>"소변검사에서 백혈구가 검출됩니다. 신장 및 비뇨기계에 대한 2차검사(혈액검사 및 소변검사)를 받으시기 바랍니다."</f>
        <v>소변검사에서 백혈구가 검출됩니다. 신장 및 비뇨기계에 대한 2차검사(혈액검사 및 소변검사)를 받으시기 바랍니다.</v>
      </c>
      <c r="E1839" s="1" t="str">
        <f>""</f>
        <v/>
      </c>
      <c r="F1839" s="1" t="str">
        <f>""</f>
        <v/>
      </c>
      <c r="G1839" s="1" t="str">
        <f t="shared" si="560"/>
        <v>DISN</v>
      </c>
      <c r="H1839" s="1" t="str">
        <f t="shared" si="561"/>
        <v>REL08</v>
      </c>
      <c r="I1839" s="1" t="str">
        <f>""</f>
        <v/>
      </c>
      <c r="J1839" s="1" t="str">
        <f t="shared" si="562"/>
        <v>C44R</v>
      </c>
      <c r="K1839" s="1" t="str">
        <f t="shared" si="563"/>
        <v>N01R</v>
      </c>
      <c r="L1839" s="1" t="str">
        <f t="shared" si="545"/>
        <v>R</v>
      </c>
      <c r="M1839" s="1" t="str">
        <f t="shared" si="564"/>
        <v>T05</v>
      </c>
      <c r="N1839" s="1" t="str">
        <f t="shared" si="546"/>
        <v>Y</v>
      </c>
      <c r="O1839" s="1" t="str">
        <f t="shared" si="549"/>
        <v>Y</v>
      </c>
      <c r="P1839" s="1" t="str">
        <f t="shared" si="544"/>
        <v>Y</v>
      </c>
      <c r="Q1839" s="1" t="str">
        <f t="shared" si="550"/>
        <v>A</v>
      </c>
    </row>
    <row r="1840" spans="1:17" x14ac:dyDescent="0.3">
      <c r="A1840" s="1" t="str">
        <f t="shared" ref="A1840:A1871" si="565">"R1"</f>
        <v>R1</v>
      </c>
      <c r="B1840" s="1" t="str">
        <f>"ANE501"</f>
        <v>ANE501</v>
      </c>
      <c r="C1840" s="1" t="str">
        <f>"빈혈"</f>
        <v>빈혈</v>
      </c>
      <c r="D1840" s="1" t="str">
        <f>"빈혈이 의심되니 빈혈에 대한 원인검사 및 치료를 위해 혈액내과 진료를 받으세요."</f>
        <v>빈혈이 의심되니 빈혈에 대한 원인검사 및 치료를 위해 혈액내과 진료를 받으세요.</v>
      </c>
      <c r="E1840" s="1" t="str">
        <f>""</f>
        <v/>
      </c>
      <c r="F1840" s="1" t="str">
        <f>""</f>
        <v/>
      </c>
      <c r="G1840" s="1" t="str">
        <f>"DISD"</f>
        <v>DISD</v>
      </c>
      <c r="H1840" s="1" t="str">
        <f>"REL12"</f>
        <v>REL12</v>
      </c>
      <c r="I1840" s="1" t="str">
        <f>""</f>
        <v/>
      </c>
      <c r="J1840" s="1" t="str">
        <f>"C08R"</f>
        <v>C08R</v>
      </c>
      <c r="K1840" s="1" t="str">
        <f>"C08R"</f>
        <v>C08R</v>
      </c>
      <c r="L1840" s="1" t="str">
        <f t="shared" si="545"/>
        <v>R</v>
      </c>
      <c r="M1840" s="1" t="str">
        <f>"T01"</f>
        <v>T01</v>
      </c>
      <c r="N1840" s="1" t="str">
        <f t="shared" si="546"/>
        <v>Y</v>
      </c>
      <c r="O1840" s="1" t="str">
        <f t="shared" si="549"/>
        <v>Y</v>
      </c>
      <c r="P1840" s="1" t="str">
        <f t="shared" si="544"/>
        <v>Y</v>
      </c>
      <c r="Q1840" s="1" t="str">
        <f t="shared" si="550"/>
        <v>A</v>
      </c>
    </row>
    <row r="1841" spans="1:17" x14ac:dyDescent="0.3">
      <c r="A1841" s="1" t="str">
        <f t="shared" si="565"/>
        <v>R1</v>
      </c>
      <c r="B1841" s="1" t="str">
        <f>"C487203"</f>
        <v>C487203</v>
      </c>
      <c r="C1841" s="1" t="str">
        <f>"C형간염 질환의심"</f>
        <v>C형간염 질환의심</v>
      </c>
      <c r="D1841" s="1" t="str">
        <f>"C형간염 증상 상담 필요합니다. 병/의원에서 진료를 받으십시오. 첫 진료비 지원은 별도 안내문 참조 바랍니다."</f>
        <v>C형간염 증상 상담 필요합니다. 병/의원에서 진료를 받으십시오. 첫 진료비 지원은 별도 안내문 참조 바랍니다.</v>
      </c>
      <c r="E1841" s="1" t="str">
        <f>"WOK02"</f>
        <v>WOK02</v>
      </c>
      <c r="F1841" s="1" t="str">
        <f>"PTM01"</f>
        <v>PTM01</v>
      </c>
      <c r="G1841" s="1" t="str">
        <f>"DISB"</f>
        <v>DISB</v>
      </c>
      <c r="H1841" s="1" t="str">
        <f>"REL91"</f>
        <v>REL91</v>
      </c>
      <c r="I1841" s="1" t="str">
        <f>""</f>
        <v/>
      </c>
      <c r="J1841" s="1" t="str">
        <f>""</f>
        <v/>
      </c>
      <c r="K1841" s="1" t="str">
        <f>""</f>
        <v/>
      </c>
      <c r="L1841" s="1" t="str">
        <f t="shared" si="545"/>
        <v>R</v>
      </c>
      <c r="M1841" s="1" t="str">
        <f>"T02"</f>
        <v>T02</v>
      </c>
      <c r="N1841" s="1" t="str">
        <f t="shared" si="546"/>
        <v>Y</v>
      </c>
      <c r="O1841" s="1" t="str">
        <f t="shared" si="549"/>
        <v>Y</v>
      </c>
      <c r="P1841" s="1" t="str">
        <f t="shared" si="544"/>
        <v>Y</v>
      </c>
      <c r="Q1841" s="1" t="str">
        <f t="shared" si="550"/>
        <v>A</v>
      </c>
    </row>
    <row r="1842" spans="1:17" x14ac:dyDescent="0.3">
      <c r="A1842" s="1" t="str">
        <f t="shared" si="565"/>
        <v>R1</v>
      </c>
      <c r="B1842" s="1" t="str">
        <f>"CAPE03"</f>
        <v>CAPE03</v>
      </c>
      <c r="C1842" s="1" t="str">
        <f>"조기정신증 질환의심"</f>
        <v>조기정신증 질환의심</v>
      </c>
      <c r="D1842" s="1" t="s">
        <v>507</v>
      </c>
      <c r="E1842" s="1" t="str">
        <f>"WOK02"</f>
        <v>WOK02</v>
      </c>
      <c r="F1842" s="1" t="str">
        <f>"PTM01"</f>
        <v>PTM01</v>
      </c>
      <c r="G1842" s="1" t="str">
        <f>"DISF"</f>
        <v>DISF</v>
      </c>
      <c r="H1842" s="1" t="str">
        <f>"REL90"</f>
        <v>REL90</v>
      </c>
      <c r="I1842" s="1" t="str">
        <f>""</f>
        <v/>
      </c>
      <c r="J1842" s="1" t="str">
        <f>""</f>
        <v/>
      </c>
      <c r="K1842" s="1" t="str">
        <f>""</f>
        <v/>
      </c>
      <c r="L1842" s="1" t="str">
        <f t="shared" si="545"/>
        <v>R</v>
      </c>
      <c r="M1842" s="1" t="str">
        <f>"T19"</f>
        <v>T19</v>
      </c>
      <c r="N1842" s="1" t="str">
        <f>"N"</f>
        <v>N</v>
      </c>
      <c r="O1842" s="1" t="str">
        <f t="shared" si="549"/>
        <v>Y</v>
      </c>
      <c r="P1842" s="1" t="str">
        <f t="shared" si="544"/>
        <v>Y</v>
      </c>
      <c r="Q1842" s="1" t="str">
        <f t="shared" si="550"/>
        <v>A</v>
      </c>
    </row>
    <row r="1843" spans="1:17" x14ac:dyDescent="0.3">
      <c r="A1843" s="1" t="str">
        <f t="shared" si="565"/>
        <v>R1</v>
      </c>
      <c r="B1843" s="1" t="str">
        <f>"DEPRESS1"</f>
        <v>DEPRESS1</v>
      </c>
      <c r="C1843" s="1" t="str">
        <f>"중간정도 우울증의심"</f>
        <v>중간정도 우울증의심</v>
      </c>
      <c r="D1843" s="1" t="str">
        <f>"가까운 병/의원(정신건강의학과 전문의)을 방문하여 진료를 받으십시오. 또는 광역·기초 정신건강복지센터 및 상담전화(1577-0199)로 연락하시면 도움을 받을 수 있습니다."</f>
        <v>가까운 병/의원(정신건강의학과 전문의)을 방문하여 진료를 받으십시오. 또는 광역·기초 정신건강복지센터 및 상담전화(1577-0199)로 연락하시면 도움을 받을 수 있습니다.</v>
      </c>
      <c r="E1843" s="1" t="str">
        <f>""</f>
        <v/>
      </c>
      <c r="F1843" s="1" t="str">
        <f>"PTM01"</f>
        <v>PTM01</v>
      </c>
      <c r="G1843" s="1" t="str">
        <f>"DISF"</f>
        <v>DISF</v>
      </c>
      <c r="H1843" s="1" t="str">
        <f>"REL21"</f>
        <v>REL21</v>
      </c>
      <c r="I1843" s="1" t="str">
        <f>""</f>
        <v/>
      </c>
      <c r="J1843" s="1" t="str">
        <f>""</f>
        <v/>
      </c>
      <c r="K1843" s="1" t="str">
        <f>""</f>
        <v/>
      </c>
      <c r="L1843" s="1" t="str">
        <f>"Q"</f>
        <v>Q</v>
      </c>
      <c r="M1843" s="1" t="str">
        <f>"T19"</f>
        <v>T19</v>
      </c>
      <c r="N1843" s="1" t="str">
        <f>"N"</f>
        <v>N</v>
      </c>
      <c r="O1843" s="1" t="str">
        <f t="shared" si="549"/>
        <v>Y</v>
      </c>
      <c r="P1843" s="1" t="str">
        <f t="shared" si="544"/>
        <v>Y</v>
      </c>
      <c r="Q1843" s="1" t="str">
        <f t="shared" si="550"/>
        <v>A</v>
      </c>
    </row>
    <row r="1844" spans="1:17" x14ac:dyDescent="0.3">
      <c r="A1844" s="1" t="str">
        <f t="shared" si="565"/>
        <v>R1</v>
      </c>
      <c r="B1844" s="1" t="str">
        <f>"DEPRESS2"</f>
        <v>DEPRESS2</v>
      </c>
      <c r="C1844" s="1" t="str">
        <f>"심한 우울증의심"</f>
        <v>심한 우울증의심</v>
      </c>
      <c r="D1844" s="1" t="str">
        <f>"가까운 병/의원(정신건강의학과 전문의)을 방문하여 진료를 받으십시오. 또는 광역·기초 정신건강복지센터 및 상담전화(1577-0199)로 연락하시면 도움을 받을 수 있습니다."</f>
        <v>가까운 병/의원(정신건강의학과 전문의)을 방문하여 진료를 받으십시오. 또는 광역·기초 정신건강복지센터 및 상담전화(1577-0199)로 연락하시면 도움을 받을 수 있습니다.</v>
      </c>
      <c r="E1844" s="1" t="str">
        <f>""</f>
        <v/>
      </c>
      <c r="F1844" s="1" t="str">
        <f>"PTM01"</f>
        <v>PTM01</v>
      </c>
      <c r="G1844" s="1" t="str">
        <f>"DISF"</f>
        <v>DISF</v>
      </c>
      <c r="H1844" s="1" t="str">
        <f>"REL21"</f>
        <v>REL21</v>
      </c>
      <c r="I1844" s="1" t="str">
        <f>""</f>
        <v/>
      </c>
      <c r="J1844" s="1" t="str">
        <f>""</f>
        <v/>
      </c>
      <c r="K1844" s="1" t="str">
        <f>""</f>
        <v/>
      </c>
      <c r="L1844" s="1" t="str">
        <f>"Q"</f>
        <v>Q</v>
      </c>
      <c r="M1844" s="1" t="str">
        <f>"T19"</f>
        <v>T19</v>
      </c>
      <c r="N1844" s="1" t="str">
        <f>"N"</f>
        <v>N</v>
      </c>
      <c r="O1844" s="1" t="str">
        <f t="shared" si="549"/>
        <v>Y</v>
      </c>
      <c r="P1844" s="1" t="str">
        <f t="shared" si="544"/>
        <v>Y</v>
      </c>
      <c r="Q1844" s="1" t="str">
        <f t="shared" si="550"/>
        <v>A</v>
      </c>
    </row>
    <row r="1845" spans="1:17" x14ac:dyDescent="0.3">
      <c r="A1845" s="1" t="str">
        <f t="shared" si="565"/>
        <v>R1</v>
      </c>
      <c r="B1845" s="1" t="str">
        <f>"DEPRESS3"</f>
        <v>DEPRESS3</v>
      </c>
      <c r="C1845" s="1" t="str">
        <f>"정신건강 주의"</f>
        <v>정신건강 주의</v>
      </c>
      <c r="D1845" s="1" t="str">
        <f>"가까운 병/의원(정신건강의학과 전문의)을 방문하여 진료를 받으십시오. 또는 광역·기초 정신건강복지센터 및 상담전화(1577-0199)로 연락하시면 도움을 받을 수 있습니다."</f>
        <v>가까운 병/의원(정신건강의학과 전문의)을 방문하여 진료를 받으십시오. 또는 광역·기초 정신건강복지센터 및 상담전화(1577-0199)로 연락하시면 도움을 받을 수 있습니다.</v>
      </c>
      <c r="E1845" s="1" t="str">
        <f t="shared" ref="E1845:E1850" si="566">"WOK02"</f>
        <v>WOK02</v>
      </c>
      <c r="F1845" s="1" t="str">
        <f>"PTM01"</f>
        <v>PTM01</v>
      </c>
      <c r="G1845" s="1" t="str">
        <f>"DISF"</f>
        <v>DISF</v>
      </c>
      <c r="H1845" s="1" t="str">
        <f>"REL21"</f>
        <v>REL21</v>
      </c>
      <c r="I1845" s="1" t="str">
        <f>""</f>
        <v/>
      </c>
      <c r="J1845" s="1" t="str">
        <f>""</f>
        <v/>
      </c>
      <c r="K1845" s="1" t="str">
        <f>""</f>
        <v/>
      </c>
      <c r="L1845" s="1" t="str">
        <f>"Q"</f>
        <v>Q</v>
      </c>
      <c r="M1845" s="1" t="str">
        <f>"T19"</f>
        <v>T19</v>
      </c>
      <c r="N1845" s="1" t="str">
        <f>"N"</f>
        <v>N</v>
      </c>
      <c r="O1845" s="1" t="str">
        <f t="shared" si="549"/>
        <v>Y</v>
      </c>
      <c r="P1845" s="1" t="str">
        <f t="shared" si="544"/>
        <v>Y</v>
      </c>
      <c r="Q1845" s="1" t="str">
        <f t="shared" si="550"/>
        <v>A</v>
      </c>
    </row>
    <row r="1846" spans="1:17" x14ac:dyDescent="0.3">
      <c r="A1846" s="1" t="str">
        <f t="shared" si="565"/>
        <v>R1</v>
      </c>
      <c r="B1846" s="1" t="str">
        <f>"DMD401"</f>
        <v>DMD401</v>
      </c>
      <c r="C1846" s="1" t="str">
        <f>"당뇨병 의심"</f>
        <v>당뇨병 의심</v>
      </c>
      <c r="D1846" s="1" t="str">
        <f>"당뇨병 검사 수치가 증가되어 있습니다. 당뇨병 질환 소견입니다. 질환이 악화될 수 있으므로 내분비내과 진료 및 약물치료 바랍니다."</f>
        <v>당뇨병 검사 수치가 증가되어 있습니다. 당뇨병 질환 소견입니다. 질환이 악화될 수 있으므로 내분비내과 진료 및 약물치료 바랍니다.</v>
      </c>
      <c r="E1846" s="1" t="str">
        <f t="shared" si="566"/>
        <v>WOK02</v>
      </c>
      <c r="F1846" s="1" t="str">
        <f>""</f>
        <v/>
      </c>
      <c r="G1846" s="1" t="str">
        <f>"DISE"</f>
        <v>DISE</v>
      </c>
      <c r="H1846" s="1" t="str">
        <f>"REL07"</f>
        <v>REL07</v>
      </c>
      <c r="I1846" s="1" t="str">
        <f>""</f>
        <v/>
      </c>
      <c r="J1846" s="1" t="str">
        <f>"C06R"</f>
        <v>C06R</v>
      </c>
      <c r="K1846" s="1" t="str">
        <f>"C06R"</f>
        <v>C06R</v>
      </c>
      <c r="L1846" s="1" t="str">
        <f t="shared" ref="L1846:L1877" si="567">"R"</f>
        <v>R</v>
      </c>
      <c r="M1846" s="1" t="str">
        <f>"T03"</f>
        <v>T03</v>
      </c>
      <c r="N1846" s="1" t="str">
        <f t="shared" ref="N1846:N1877" si="568">"Y"</f>
        <v>Y</v>
      </c>
      <c r="O1846" s="1" t="str">
        <f t="shared" si="549"/>
        <v>Y</v>
      </c>
      <c r="P1846" s="1" t="str">
        <f t="shared" si="544"/>
        <v>Y</v>
      </c>
      <c r="Q1846" s="1" t="str">
        <f t="shared" si="550"/>
        <v>A</v>
      </c>
    </row>
    <row r="1847" spans="1:17" x14ac:dyDescent="0.3">
      <c r="A1847" s="1" t="str">
        <f t="shared" si="565"/>
        <v>R1</v>
      </c>
      <c r="B1847" s="1" t="str">
        <f>"GNBMD03"</f>
        <v>GNBMD03</v>
      </c>
      <c r="C1847" s="1" t="str">
        <f>"골다공증"</f>
        <v>골다공증</v>
      </c>
      <c r="D1847" s="1" t="str">
        <f>"골절 위험에 대한 상담이 필요합니다. 가까운 병/의원을 방문하여 진료를 받으십시오. 칼슘 및 비타민 D 섭취를 권장합니다."</f>
        <v>골절 위험에 대한 상담이 필요합니다. 가까운 병/의원을 방문하여 진료를 받으십시오. 칼슘 및 비타민 D 섭취를 권장합니다.</v>
      </c>
      <c r="E1847" s="1" t="str">
        <f t="shared" si="566"/>
        <v>WOK02</v>
      </c>
      <c r="F1847" s="1" t="str">
        <f>"PTM04"</f>
        <v>PTM04</v>
      </c>
      <c r="G1847" s="1" t="str">
        <f>"DISM"</f>
        <v>DISM</v>
      </c>
      <c r="H1847" s="1" t="str">
        <f>"REL32"</f>
        <v>REL32</v>
      </c>
      <c r="I1847" s="1" t="str">
        <f>""</f>
        <v/>
      </c>
      <c r="J1847" s="1" t="str">
        <f>"C43C"</f>
        <v>C43C</v>
      </c>
      <c r="K1847" s="1" t="str">
        <f>"C43C"</f>
        <v>C43C</v>
      </c>
      <c r="L1847" s="1" t="str">
        <f t="shared" si="567"/>
        <v>R</v>
      </c>
      <c r="M1847" s="1" t="str">
        <f>"T19"</f>
        <v>T19</v>
      </c>
      <c r="N1847" s="1" t="str">
        <f t="shared" si="568"/>
        <v>Y</v>
      </c>
      <c r="O1847" s="1" t="str">
        <f t="shared" si="549"/>
        <v>Y</v>
      </c>
      <c r="P1847" s="1" t="str">
        <f t="shared" si="544"/>
        <v>Y</v>
      </c>
      <c r="Q1847" s="1" t="str">
        <f t="shared" si="550"/>
        <v>A</v>
      </c>
    </row>
    <row r="1848" spans="1:17" x14ac:dyDescent="0.3">
      <c r="A1848" s="1" t="str">
        <f t="shared" si="565"/>
        <v>R1</v>
      </c>
      <c r="B1848" s="1" t="str">
        <f>"GNBMI04"</f>
        <v>GNBMI04</v>
      </c>
      <c r="C1848" s="1" t="str">
        <f>"비만"</f>
        <v>비만</v>
      </c>
      <c r="D1848" s="1" t="str">
        <f>"비만입니다. 비만은 각종 심뇌혈관 질환의 위험요인입니다. 규칙적인 운동 및 식이조절을 통해 체중을 줄이시기 바랍니다. 필요시 비만클리닉을 방문하시기 바랍니다."</f>
        <v>비만입니다. 비만은 각종 심뇌혈관 질환의 위험요인입니다. 규칙적인 운동 및 식이조절을 통해 체중을 줄이시기 바랍니다. 필요시 비만클리닉을 방문하시기 바랍니다.</v>
      </c>
      <c r="E1848" s="1" t="str">
        <f t="shared" si="566"/>
        <v>WOK02</v>
      </c>
      <c r="F1848" s="1" t="str">
        <f>"PTM01"</f>
        <v>PTM01</v>
      </c>
      <c r="G1848" s="1" t="str">
        <f>"DISE"</f>
        <v>DISE</v>
      </c>
      <c r="H1848" s="1" t="str">
        <f>"REL10"</f>
        <v>REL10</v>
      </c>
      <c r="I1848" s="1" t="str">
        <f>""</f>
        <v/>
      </c>
      <c r="J1848" s="1" t="str">
        <f>"C35R"</f>
        <v>C35R</v>
      </c>
      <c r="K1848" s="1" t="str">
        <f>"C35R"</f>
        <v>C35R</v>
      </c>
      <c r="L1848" s="1" t="str">
        <f t="shared" si="567"/>
        <v>R</v>
      </c>
      <c r="M1848" s="1" t="str">
        <f>"T03"</f>
        <v>T03</v>
      </c>
      <c r="N1848" s="1" t="str">
        <f t="shared" si="568"/>
        <v>Y</v>
      </c>
      <c r="O1848" s="1" t="str">
        <f t="shared" si="549"/>
        <v>Y</v>
      </c>
      <c r="P1848" s="1" t="str">
        <f t="shared" si="544"/>
        <v>Y</v>
      </c>
      <c r="Q1848" s="1" t="str">
        <f t="shared" si="550"/>
        <v>A</v>
      </c>
    </row>
    <row r="1849" spans="1:17" x14ac:dyDescent="0.3">
      <c r="A1849" s="1" t="str">
        <f t="shared" si="565"/>
        <v>R1</v>
      </c>
      <c r="B1849" s="1" t="str">
        <f>"GNGFR02"</f>
        <v>GNGFR02</v>
      </c>
      <c r="C1849" s="1" t="str">
        <f>"신장질환 의심"</f>
        <v>신장질환 의심</v>
      </c>
      <c r="D1849" s="1" t="str">
        <f>"신장기능검사에서 신사구체여과율 수치가 감소되어 있습니다. 신장 기능이 저하되었을 수 있는 소견이므로 정확한 진단을 위해서 신장내과 진료를 받으시기 바랍니다."</f>
        <v>신장기능검사에서 신사구체여과율 수치가 감소되어 있습니다. 신장 기능이 저하되었을 수 있는 소견이므로 정확한 진단을 위해서 신장내과 진료를 받으시기 바랍니다.</v>
      </c>
      <c r="E1849" s="1" t="str">
        <f t="shared" si="566"/>
        <v>WOK02</v>
      </c>
      <c r="F1849" s="1" t="str">
        <f>"PTM03"</f>
        <v>PTM03</v>
      </c>
      <c r="G1849" s="1" t="str">
        <f>"DISN"</f>
        <v>DISN</v>
      </c>
      <c r="H1849" s="1" t="str">
        <f>"REL08"</f>
        <v>REL08</v>
      </c>
      <c r="I1849" s="1" t="str">
        <f>""</f>
        <v/>
      </c>
      <c r="J1849" s="1" t="str">
        <f>"C07C"</f>
        <v>C07C</v>
      </c>
      <c r="K1849" s="1" t="str">
        <f>"C07C"</f>
        <v>C07C</v>
      </c>
      <c r="L1849" s="1" t="str">
        <f t="shared" si="567"/>
        <v>R</v>
      </c>
      <c r="M1849" s="1" t="str">
        <f>"T05"</f>
        <v>T05</v>
      </c>
      <c r="N1849" s="1" t="str">
        <f t="shared" si="568"/>
        <v>Y</v>
      </c>
      <c r="O1849" s="1" t="str">
        <f t="shared" si="549"/>
        <v>Y</v>
      </c>
      <c r="P1849" s="1" t="str">
        <f t="shared" si="544"/>
        <v>Y</v>
      </c>
      <c r="Q1849" s="1" t="str">
        <f t="shared" si="550"/>
        <v>A</v>
      </c>
    </row>
    <row r="1850" spans="1:17" x14ac:dyDescent="0.3">
      <c r="A1850" s="1" t="str">
        <f t="shared" si="565"/>
        <v>R1</v>
      </c>
      <c r="B1850" s="1" t="str">
        <f>"GNHEM03"</f>
        <v>GNHEM03</v>
      </c>
      <c r="C1850" s="1" t="str">
        <f>"빈혈"</f>
        <v>빈혈</v>
      </c>
      <c r="D1850" s="1" t="str">
        <f>"빈혈 소견이 있습니다. 혈액내과 진료를 받으시기 바랍니다."</f>
        <v>빈혈 소견이 있습니다. 혈액내과 진료를 받으시기 바랍니다.</v>
      </c>
      <c r="E1850" s="1" t="str">
        <f t="shared" si="566"/>
        <v>WOK02</v>
      </c>
      <c r="F1850" s="1" t="str">
        <f>"PTM04"</f>
        <v>PTM04</v>
      </c>
      <c r="G1850" s="1" t="str">
        <f>"DISD"</f>
        <v>DISD</v>
      </c>
      <c r="H1850" s="1" t="str">
        <f>"REL12"</f>
        <v>REL12</v>
      </c>
      <c r="I1850" s="1" t="str">
        <f>""</f>
        <v/>
      </c>
      <c r="J1850" s="1" t="str">
        <f>"C08R"</f>
        <v>C08R</v>
      </c>
      <c r="K1850" s="1" t="str">
        <f>"C08R"</f>
        <v>C08R</v>
      </c>
      <c r="L1850" s="1" t="str">
        <f t="shared" si="567"/>
        <v>R</v>
      </c>
      <c r="M1850" s="1" t="str">
        <f>"T01"</f>
        <v>T01</v>
      </c>
      <c r="N1850" s="1" t="str">
        <f t="shared" si="568"/>
        <v>Y</v>
      </c>
      <c r="O1850" s="1" t="str">
        <f t="shared" si="549"/>
        <v>Y</v>
      </c>
      <c r="P1850" s="1" t="str">
        <f t="shared" si="544"/>
        <v>Y</v>
      </c>
      <c r="Q1850" s="1" t="str">
        <f t="shared" si="550"/>
        <v>A</v>
      </c>
    </row>
    <row r="1851" spans="1:17" x14ac:dyDescent="0.3">
      <c r="A1851" s="1" t="str">
        <f t="shared" si="565"/>
        <v>R1</v>
      </c>
      <c r="B1851" s="1" t="str">
        <f>"GNLEG03"</f>
        <v>GNLEG03</v>
      </c>
      <c r="C1851" s="1" t="str">
        <f>"신체기능저하"</f>
        <v>신체기능저하</v>
      </c>
      <c r="D1851" s="1" t="str">
        <f>"낙상의 고위험군입니다. 교육자료를 참고하여 낙상에 주의하십시오."</f>
        <v>낙상의 고위험군입니다. 교육자료를 참고하여 낙상에 주의하십시오.</v>
      </c>
      <c r="E1851" s="1" t="str">
        <f>"WOK01"</f>
        <v>WOK01</v>
      </c>
      <c r="F1851" s="1" t="str">
        <f>"PTM01"</f>
        <v>PTM01</v>
      </c>
      <c r="G1851" s="1" t="str">
        <f>"DISM"</f>
        <v>DISM</v>
      </c>
      <c r="H1851" s="1" t="str">
        <f>"REL22"</f>
        <v>REL22</v>
      </c>
      <c r="I1851" s="1" t="str">
        <f>""</f>
        <v/>
      </c>
      <c r="J1851" s="1" t="str">
        <f>""</f>
        <v/>
      </c>
      <c r="K1851" s="1" t="str">
        <f>""</f>
        <v/>
      </c>
      <c r="L1851" s="1" t="str">
        <f t="shared" si="567"/>
        <v>R</v>
      </c>
      <c r="M1851" s="1" t="str">
        <f>"T19"</f>
        <v>T19</v>
      </c>
      <c r="N1851" s="1" t="str">
        <f t="shared" si="568"/>
        <v>Y</v>
      </c>
      <c r="O1851" s="1" t="str">
        <f t="shared" si="549"/>
        <v>Y</v>
      </c>
      <c r="P1851" s="1" t="str">
        <f t="shared" si="544"/>
        <v>Y</v>
      </c>
      <c r="Q1851" s="1" t="str">
        <f t="shared" si="550"/>
        <v>A</v>
      </c>
    </row>
    <row r="1852" spans="1:17" x14ac:dyDescent="0.3">
      <c r="A1852" s="1" t="str">
        <f t="shared" si="565"/>
        <v>R1</v>
      </c>
      <c r="B1852" s="1" t="str">
        <f>"GNLFT003"</f>
        <v>GNLFT003</v>
      </c>
      <c r="C1852" s="1" t="str">
        <f>"간기능 이상"</f>
        <v>간기능 이상</v>
      </c>
      <c r="D1852" s="1" t="s">
        <v>508</v>
      </c>
      <c r="E1852" s="1" t="str">
        <f t="shared" ref="E1852:E1883" si="569">"WOK02"</f>
        <v>WOK02</v>
      </c>
      <c r="F1852" s="1" t="str">
        <f>"PTM03"</f>
        <v>PTM03</v>
      </c>
      <c r="G1852" s="1" t="str">
        <f>"DISK"</f>
        <v>DISK</v>
      </c>
      <c r="H1852" s="1" t="str">
        <f>"REL05"</f>
        <v>REL05</v>
      </c>
      <c r="I1852" s="1" t="str">
        <f>""</f>
        <v/>
      </c>
      <c r="J1852" s="1" t="str">
        <f>"C05C"</f>
        <v>C05C</v>
      </c>
      <c r="K1852" s="1" t="str">
        <f>"C05C"</f>
        <v>C05C</v>
      </c>
      <c r="L1852" s="1" t="str">
        <f t="shared" si="567"/>
        <v>R</v>
      </c>
      <c r="M1852" s="1" t="str">
        <f>"T02"</f>
        <v>T02</v>
      </c>
      <c r="N1852" s="1" t="str">
        <f t="shared" si="568"/>
        <v>Y</v>
      </c>
      <c r="O1852" s="1" t="str">
        <f t="shared" si="549"/>
        <v>Y</v>
      </c>
      <c r="P1852" s="1" t="str">
        <f t="shared" si="544"/>
        <v>Y</v>
      </c>
      <c r="Q1852" s="1" t="str">
        <f t="shared" si="550"/>
        <v>A</v>
      </c>
    </row>
    <row r="1853" spans="1:17" x14ac:dyDescent="0.3">
      <c r="A1853" s="1" t="str">
        <f t="shared" si="565"/>
        <v>R1</v>
      </c>
      <c r="B1853" s="1" t="str">
        <f>"GNLFT004"</f>
        <v>GNLFT004</v>
      </c>
      <c r="C1853" s="1" t="str">
        <f>"간질환 의심"</f>
        <v>간질환 의심</v>
      </c>
      <c r="D1853" s="1" t="str">
        <f>"심한 간수치 증가 소견이 있습니다. 소화기내과 진료를 받으시기 바랍니다."</f>
        <v>심한 간수치 증가 소견이 있습니다. 소화기내과 진료를 받으시기 바랍니다.</v>
      </c>
      <c r="E1853" s="1" t="str">
        <f t="shared" si="569"/>
        <v>WOK02</v>
      </c>
      <c r="F1853" s="1" t="str">
        <f>"PTM04"</f>
        <v>PTM04</v>
      </c>
      <c r="G1853" s="1" t="str">
        <f>"DISK"</f>
        <v>DISK</v>
      </c>
      <c r="H1853" s="1" t="str">
        <f>"REL05"</f>
        <v>REL05</v>
      </c>
      <c r="I1853" s="1" t="str">
        <f>""</f>
        <v/>
      </c>
      <c r="J1853" s="1" t="str">
        <f>"C05C"</f>
        <v>C05C</v>
      </c>
      <c r="K1853" s="1" t="str">
        <f>"C05C"</f>
        <v>C05C</v>
      </c>
      <c r="L1853" s="1" t="str">
        <f t="shared" si="567"/>
        <v>R</v>
      </c>
      <c r="M1853" s="1" t="str">
        <f>"T02"</f>
        <v>T02</v>
      </c>
      <c r="N1853" s="1" t="str">
        <f t="shared" si="568"/>
        <v>Y</v>
      </c>
      <c r="O1853" s="1" t="str">
        <f t="shared" si="549"/>
        <v>Y</v>
      </c>
      <c r="P1853" s="1" t="str">
        <f t="shared" si="544"/>
        <v>Y</v>
      </c>
      <c r="Q1853" s="1" t="str">
        <f t="shared" si="550"/>
        <v>A</v>
      </c>
    </row>
    <row r="1854" spans="1:17" x14ac:dyDescent="0.3">
      <c r="A1854" s="1" t="str">
        <f t="shared" si="565"/>
        <v>R1</v>
      </c>
      <c r="B1854" s="1" t="str">
        <f>"GNLIPID02"</f>
        <v>GNLIPID02</v>
      </c>
      <c r="C1854" s="1" t="str">
        <f>"(혈중지질검사) 비정상"</f>
        <v>(혈중지질검사) 비정상</v>
      </c>
      <c r="D1854" s="1" t="str">
        <f>"혈중지질검사에서 (    ) 수치 (감소/증가) 소견 확인됩니다. 내분비내과 진료를 받으시기 바랍니다."</f>
        <v>혈중지질검사에서 (    ) 수치 (감소/증가) 소견 확인됩니다. 내분비내과 진료를 받으시기 바랍니다.</v>
      </c>
      <c r="E1854" s="1" t="str">
        <f t="shared" si="569"/>
        <v>WOK02</v>
      </c>
      <c r="F1854" s="1" t="str">
        <f>"PTM04"</f>
        <v>PTM04</v>
      </c>
      <c r="G1854" s="1" t="str">
        <f>"DISE"</f>
        <v>DISE</v>
      </c>
      <c r="H1854" s="1" t="str">
        <f>"REL04"</f>
        <v>REL04</v>
      </c>
      <c r="I1854" s="1" t="str">
        <f>""</f>
        <v/>
      </c>
      <c r="J1854" s="1" t="str">
        <f>"C04C"</f>
        <v>C04C</v>
      </c>
      <c r="K1854" s="1" t="str">
        <f>"C04C"</f>
        <v>C04C</v>
      </c>
      <c r="L1854" s="1" t="str">
        <f t="shared" si="567"/>
        <v>R</v>
      </c>
      <c r="M1854" s="1" t="str">
        <f>"T03"</f>
        <v>T03</v>
      </c>
      <c r="N1854" s="1" t="str">
        <f t="shared" si="568"/>
        <v>Y</v>
      </c>
      <c r="O1854" s="1" t="str">
        <f t="shared" si="549"/>
        <v>Y</v>
      </c>
      <c r="P1854" s="1" t="str">
        <f t="shared" si="544"/>
        <v>Y</v>
      </c>
      <c r="Q1854" s="1" t="str">
        <f t="shared" si="550"/>
        <v>A</v>
      </c>
    </row>
    <row r="1855" spans="1:17" x14ac:dyDescent="0.3">
      <c r="A1855" s="1" t="str">
        <f t="shared" si="565"/>
        <v>R1</v>
      </c>
      <c r="B1855" s="1" t="str">
        <f>"GNWC02"</f>
        <v>GNWC02</v>
      </c>
      <c r="C1855" s="1" t="str">
        <f>"복부비만"</f>
        <v>복부비만</v>
      </c>
      <c r="D1855" s="1" t="str">
        <f>"복부비만으로 인해 각종 심뇌혈관 질환 위험성이 높습니다. 식이조절 및 운동 등으로 자기관리 하시고 필요시 비만클리닉 진료를 받으시기 바랍니다."</f>
        <v>복부비만으로 인해 각종 심뇌혈관 질환 위험성이 높습니다. 식이조절 및 운동 등으로 자기관리 하시고 필요시 비만클리닉 진료를 받으시기 바랍니다.</v>
      </c>
      <c r="E1855" s="1" t="str">
        <f t="shared" si="569"/>
        <v>WOK02</v>
      </c>
      <c r="F1855" s="1" t="str">
        <f t="shared" ref="F1855:F1861" si="570">"PTM01"</f>
        <v>PTM01</v>
      </c>
      <c r="G1855" s="1" t="str">
        <f>"DISE"</f>
        <v>DISE</v>
      </c>
      <c r="H1855" s="1" t="str">
        <f>"REL10"</f>
        <v>REL10</v>
      </c>
      <c r="I1855" s="1" t="str">
        <f>""</f>
        <v/>
      </c>
      <c r="J1855" s="1" t="str">
        <f>"C35R"</f>
        <v>C35R</v>
      </c>
      <c r="K1855" s="1" t="str">
        <f>"C35R"</f>
        <v>C35R</v>
      </c>
      <c r="L1855" s="1" t="str">
        <f t="shared" si="567"/>
        <v>R</v>
      </c>
      <c r="M1855" s="1" t="str">
        <f>"T03"</f>
        <v>T03</v>
      </c>
      <c r="N1855" s="1" t="str">
        <f t="shared" si="568"/>
        <v>Y</v>
      </c>
      <c r="O1855" s="1" t="str">
        <f t="shared" si="549"/>
        <v>Y</v>
      </c>
      <c r="P1855" s="1" t="str">
        <f t="shared" si="544"/>
        <v>Y</v>
      </c>
      <c r="Q1855" s="1" t="str">
        <f t="shared" si="550"/>
        <v>A</v>
      </c>
    </row>
    <row r="1856" spans="1:17" x14ac:dyDescent="0.3">
      <c r="A1856" s="1" t="str">
        <f t="shared" si="565"/>
        <v>R1</v>
      </c>
      <c r="B1856" s="1" t="str">
        <f>"GNX009"</f>
        <v>GNX009</v>
      </c>
      <c r="C1856" s="1" t="str">
        <f>"순환기계 질환(심비대)"</f>
        <v>순환기계 질환(심비대)</v>
      </c>
      <c r="D1856" s="1" t="str">
        <f>"흉부방사선검사에서 심장비대 소견입니다. 고혈압 등 다른 심장질환의 가능성 있으므로 심장내과 내원하여 정확한 진단 및 치료 바랍니다."</f>
        <v>흉부방사선검사에서 심장비대 소견입니다. 고혈압 등 다른 심장질환의 가능성 있으므로 심장내과 내원하여 정확한 진단 및 치료 바랍니다.</v>
      </c>
      <c r="E1856" s="1" t="str">
        <f t="shared" si="569"/>
        <v>WOK02</v>
      </c>
      <c r="F1856" s="1" t="str">
        <f t="shared" si="570"/>
        <v>PTM01</v>
      </c>
      <c r="G1856" s="1" t="str">
        <f>"DISI"</f>
        <v>DISI</v>
      </c>
      <c r="H1856" s="1" t="str">
        <f>"REL06"</f>
        <v>REL06</v>
      </c>
      <c r="I1856" s="1" t="str">
        <f>""</f>
        <v/>
      </c>
      <c r="J1856" s="1" t="str">
        <f t="shared" ref="J1856:K1858" si="571">"C02D"</f>
        <v>C02D</v>
      </c>
      <c r="K1856" s="1" t="str">
        <f t="shared" si="571"/>
        <v>C02D</v>
      </c>
      <c r="L1856" s="1" t="str">
        <f t="shared" si="567"/>
        <v>R</v>
      </c>
      <c r="M1856" s="1" t="str">
        <f>"T03"</f>
        <v>T03</v>
      </c>
      <c r="N1856" s="1" t="str">
        <f t="shared" si="568"/>
        <v>Y</v>
      </c>
      <c r="O1856" s="1" t="str">
        <f t="shared" si="549"/>
        <v>Y</v>
      </c>
      <c r="P1856" s="1" t="str">
        <f t="shared" si="544"/>
        <v>Y</v>
      </c>
      <c r="Q1856" s="1" t="str">
        <f t="shared" si="550"/>
        <v>A</v>
      </c>
    </row>
    <row r="1857" spans="1:17" x14ac:dyDescent="0.3">
      <c r="A1857" s="1" t="str">
        <f t="shared" si="565"/>
        <v>R1</v>
      </c>
      <c r="B1857" s="1" t="str">
        <f>"GNX0090"</f>
        <v>GNX0090</v>
      </c>
      <c r="C1857" s="1" t="str">
        <f>"순환기계 질환(심비대 의증)"</f>
        <v>순환기계 질환(심비대 의증)</v>
      </c>
      <c r="D1857" s="1" t="str">
        <f>"흉부방사선 검사 결과 심비대 소견이 의심됩니다. 순환기내과 진료를 받으시기 바랍니다."</f>
        <v>흉부방사선 검사 결과 심비대 소견이 의심됩니다. 순환기내과 진료를 받으시기 바랍니다.</v>
      </c>
      <c r="E1857" s="1" t="str">
        <f t="shared" si="569"/>
        <v>WOK02</v>
      </c>
      <c r="F1857" s="1" t="str">
        <f t="shared" si="570"/>
        <v>PTM01</v>
      </c>
      <c r="G1857" s="1" t="str">
        <f>"DISI"</f>
        <v>DISI</v>
      </c>
      <c r="H1857" s="1" t="str">
        <f>"REL06"</f>
        <v>REL06</v>
      </c>
      <c r="I1857" s="1" t="str">
        <f>""</f>
        <v/>
      </c>
      <c r="J1857" s="1" t="str">
        <f t="shared" si="571"/>
        <v>C02D</v>
      </c>
      <c r="K1857" s="1" t="str">
        <f t="shared" si="571"/>
        <v>C02D</v>
      </c>
      <c r="L1857" s="1" t="str">
        <f t="shared" si="567"/>
        <v>R</v>
      </c>
      <c r="M1857" s="1" t="str">
        <f>"T03"</f>
        <v>T03</v>
      </c>
      <c r="N1857" s="1" t="str">
        <f t="shared" si="568"/>
        <v>Y</v>
      </c>
      <c r="O1857" s="1" t="str">
        <f t="shared" si="549"/>
        <v>Y</v>
      </c>
      <c r="P1857" s="1" t="str">
        <f t="shared" si="544"/>
        <v>Y</v>
      </c>
      <c r="Q1857" s="1" t="str">
        <f t="shared" si="550"/>
        <v>A</v>
      </c>
    </row>
    <row r="1858" spans="1:17" x14ac:dyDescent="0.3">
      <c r="A1858" s="1" t="str">
        <f t="shared" si="565"/>
        <v>R1</v>
      </c>
      <c r="B1858" s="1" t="str">
        <f>"GNX0091"</f>
        <v>GNX0091</v>
      </c>
      <c r="C1858" s="1" t="str">
        <f>"순환기계 질환(대동맥 석회화)"</f>
        <v>순환기계 질환(대동맥 석회화)</v>
      </c>
      <c r="D1858" s="1" t="str">
        <f>"흉부방사선 검사 결과 대동맥 석회화 소견이 확인됩니다. 순환기내과 진료를 받으시기 바랍니다."</f>
        <v>흉부방사선 검사 결과 대동맥 석회화 소견이 확인됩니다. 순환기내과 진료를 받으시기 바랍니다.</v>
      </c>
      <c r="E1858" s="1" t="str">
        <f t="shared" si="569"/>
        <v>WOK02</v>
      </c>
      <c r="F1858" s="1" t="str">
        <f t="shared" si="570"/>
        <v>PTM01</v>
      </c>
      <c r="G1858" s="1" t="str">
        <f>"DISI"</f>
        <v>DISI</v>
      </c>
      <c r="H1858" s="1" t="str">
        <f>"REL06"</f>
        <v>REL06</v>
      </c>
      <c r="I1858" s="1" t="str">
        <f>""</f>
        <v/>
      </c>
      <c r="J1858" s="1" t="str">
        <f t="shared" si="571"/>
        <v>C02D</v>
      </c>
      <c r="K1858" s="1" t="str">
        <f t="shared" si="571"/>
        <v>C02D</v>
      </c>
      <c r="L1858" s="1" t="str">
        <f t="shared" si="567"/>
        <v>R</v>
      </c>
      <c r="M1858" s="1" t="str">
        <f>"T03"</f>
        <v>T03</v>
      </c>
      <c r="N1858" s="1" t="str">
        <f t="shared" si="568"/>
        <v>Y</v>
      </c>
      <c r="O1858" s="1" t="str">
        <f t="shared" si="549"/>
        <v>Y</v>
      </c>
      <c r="P1858" s="1" t="str">
        <f t="shared" si="544"/>
        <v>Y</v>
      </c>
      <c r="Q1858" s="1" t="str">
        <f t="shared" si="550"/>
        <v>A</v>
      </c>
    </row>
    <row r="1859" spans="1:17" x14ac:dyDescent="0.3">
      <c r="A1859" s="1" t="str">
        <f t="shared" si="565"/>
        <v>R1</v>
      </c>
      <c r="B1859" s="1" t="str">
        <f>"GNX00910"</f>
        <v>GNX00910</v>
      </c>
      <c r="C1859" s="1" t="str">
        <f>"순환기계 질환(대동맥 석회화 의증)"</f>
        <v>순환기계 질환(대동맥 석회화 의증)</v>
      </c>
      <c r="D1859" s="1" t="str">
        <f>"흉부방사선 검사 결과 대동맥 석회화 소견이 의심됩니다. 순환기내과 진료를 받으시기 바랍니다."</f>
        <v>흉부방사선 검사 결과 대동맥 석회화 소견이 의심됩니다. 순환기내과 진료를 받으시기 바랍니다.</v>
      </c>
      <c r="E1859" s="1" t="str">
        <f t="shared" si="569"/>
        <v>WOK02</v>
      </c>
      <c r="F1859" s="1" t="str">
        <f t="shared" si="570"/>
        <v>PTM01</v>
      </c>
      <c r="G1859" s="1" t="str">
        <f>"DISJ"</f>
        <v>DISJ</v>
      </c>
      <c r="H1859" s="1" t="str">
        <f>"REL02"</f>
        <v>REL02</v>
      </c>
      <c r="I1859" s="1" t="str">
        <f>""</f>
        <v/>
      </c>
      <c r="J1859" s="1" t="str">
        <f>"C02D"</f>
        <v>C02D</v>
      </c>
      <c r="K1859" s="1" t="str">
        <f>"C02C"</f>
        <v>C02C</v>
      </c>
      <c r="L1859" s="1" t="str">
        <f t="shared" si="567"/>
        <v>R</v>
      </c>
      <c r="M1859" s="1" t="str">
        <f>"T04"</f>
        <v>T04</v>
      </c>
      <c r="N1859" s="1" t="str">
        <f t="shared" si="568"/>
        <v>Y</v>
      </c>
      <c r="O1859" s="1" t="str">
        <f t="shared" si="549"/>
        <v>Y</v>
      </c>
      <c r="P1859" s="1" t="str">
        <f t="shared" si="544"/>
        <v>Y</v>
      </c>
      <c r="Q1859" s="1" t="str">
        <f t="shared" si="550"/>
        <v>A</v>
      </c>
    </row>
    <row r="1860" spans="1:17" x14ac:dyDescent="0.3">
      <c r="A1860" s="1" t="str">
        <f t="shared" si="565"/>
        <v>R1</v>
      </c>
      <c r="B1860" s="1" t="str">
        <f>"GNX010"</f>
        <v>GNX010</v>
      </c>
      <c r="C1860" s="1" t="str">
        <f>"순환기계 질환(우측 대동맥궁)"</f>
        <v>순환기계 질환(우측 대동맥궁)</v>
      </c>
      <c r="D1860" s="1" t="str">
        <f>"선천적 변이로 증상이 없다면 특별한 치료가 필요하지 않으므로 다음 검사 시에 추적관찰 바랍니다."</f>
        <v>선천적 변이로 증상이 없다면 특별한 치료가 필요하지 않으므로 다음 검사 시에 추적관찰 바랍니다.</v>
      </c>
      <c r="E1860" s="1" t="str">
        <f t="shared" si="569"/>
        <v>WOK02</v>
      </c>
      <c r="F1860" s="1" t="str">
        <f t="shared" si="570"/>
        <v>PTM01</v>
      </c>
      <c r="G1860" s="1" t="str">
        <f>"DISI"</f>
        <v>DISI</v>
      </c>
      <c r="H1860" s="1" t="str">
        <f>"REL06"</f>
        <v>REL06</v>
      </c>
      <c r="I1860" s="1" t="str">
        <f>""</f>
        <v/>
      </c>
      <c r="J1860" s="1" t="str">
        <f>"C02D"</f>
        <v>C02D</v>
      </c>
      <c r="K1860" s="1" t="str">
        <f>"C02D"</f>
        <v>C02D</v>
      </c>
      <c r="L1860" s="1" t="str">
        <f t="shared" si="567"/>
        <v>R</v>
      </c>
      <c r="M1860" s="1" t="str">
        <f>"T03"</f>
        <v>T03</v>
      </c>
      <c r="N1860" s="1" t="str">
        <f t="shared" si="568"/>
        <v>Y</v>
      </c>
      <c r="O1860" s="1" t="str">
        <f t="shared" si="549"/>
        <v>Y</v>
      </c>
      <c r="P1860" s="1" t="str">
        <f t="shared" si="544"/>
        <v>Y</v>
      </c>
      <c r="Q1860" s="1" t="str">
        <f t="shared" si="550"/>
        <v>A</v>
      </c>
    </row>
    <row r="1861" spans="1:17" x14ac:dyDescent="0.3">
      <c r="A1861" s="1" t="str">
        <f t="shared" si="565"/>
        <v>R1</v>
      </c>
      <c r="B1861" s="1" t="str">
        <f>"GNX014"</f>
        <v>GNX014</v>
      </c>
      <c r="C1861" s="1" t="str">
        <f>"순환기계 질환(경도 심비대)"</f>
        <v>순환기계 질환(경도 심비대)</v>
      </c>
      <c r="D1861" s="1" t="str">
        <f>"흉부방사선 검사 결과 경도 심비대 소견이 확인됩니다. 추적검사를 위해 순환기내과 진료를 받으시기 바랍니다."</f>
        <v>흉부방사선 검사 결과 경도 심비대 소견이 확인됩니다. 추적검사를 위해 순환기내과 진료를 받으시기 바랍니다.</v>
      </c>
      <c r="E1861" s="1" t="str">
        <f t="shared" si="569"/>
        <v>WOK02</v>
      </c>
      <c r="F1861" s="1" t="str">
        <f t="shared" si="570"/>
        <v>PTM01</v>
      </c>
      <c r="G1861" s="1" t="str">
        <f>"DISI"</f>
        <v>DISI</v>
      </c>
      <c r="H1861" s="1" t="str">
        <f>"REL06"</f>
        <v>REL06</v>
      </c>
      <c r="I1861" s="1" t="str">
        <f>""</f>
        <v/>
      </c>
      <c r="J1861" s="1" t="str">
        <f>"C02D"</f>
        <v>C02D</v>
      </c>
      <c r="K1861" s="1" t="str">
        <f>"C02D"</f>
        <v>C02D</v>
      </c>
      <c r="L1861" s="1" t="str">
        <f t="shared" si="567"/>
        <v>R</v>
      </c>
      <c r="M1861" s="1" t="str">
        <f>"T03"</f>
        <v>T03</v>
      </c>
      <c r="N1861" s="1" t="str">
        <f t="shared" si="568"/>
        <v>Y</v>
      </c>
      <c r="O1861" s="1" t="str">
        <f t="shared" si="549"/>
        <v>Y</v>
      </c>
      <c r="P1861" s="1" t="str">
        <f t="shared" si="544"/>
        <v>Y</v>
      </c>
      <c r="Q1861" s="1" t="str">
        <f t="shared" si="550"/>
        <v>A</v>
      </c>
    </row>
    <row r="1862" spans="1:17" x14ac:dyDescent="0.3">
      <c r="A1862" s="1" t="str">
        <f t="shared" si="565"/>
        <v>R1</v>
      </c>
      <c r="B1862" s="1" t="str">
        <f>"GNX07"</f>
        <v>GNX07</v>
      </c>
      <c r="C1862" s="1" t="str">
        <f>"폐결핵 의증"</f>
        <v>폐결핵 의증</v>
      </c>
      <c r="D1862" s="1" t="str">
        <f>"흉부방사선 검사 결과 폐결핵 의증 소견이 확인됩니다. 호흡기내과 진료를 받으시기 바랍니다."</f>
        <v>흉부방사선 검사 결과 폐결핵 의증 소견이 확인됩니다. 호흡기내과 진료를 받으시기 바랍니다.</v>
      </c>
      <c r="E1862" s="1" t="str">
        <f t="shared" si="569"/>
        <v>WOK02</v>
      </c>
      <c r="F1862" s="1" t="str">
        <f>"PTM04"</f>
        <v>PTM04</v>
      </c>
      <c r="G1862" s="1" t="str">
        <f t="shared" ref="G1862:G1900" si="572">"DISJ"</f>
        <v>DISJ</v>
      </c>
      <c r="H1862" s="1" t="str">
        <f>"REL01"</f>
        <v>REL01</v>
      </c>
      <c r="I1862" s="1" t="str">
        <f>""</f>
        <v/>
      </c>
      <c r="J1862" s="1" t="str">
        <f>"C01D"</f>
        <v>C01D</v>
      </c>
      <c r="K1862" s="1" t="str">
        <f>"C01D"</f>
        <v>C01D</v>
      </c>
      <c r="L1862" s="1" t="str">
        <f t="shared" si="567"/>
        <v>R</v>
      </c>
      <c r="M1862" s="1" t="str">
        <f t="shared" ref="M1862:M1900" si="573">"T04"</f>
        <v>T04</v>
      </c>
      <c r="N1862" s="1" t="str">
        <f t="shared" si="568"/>
        <v>Y</v>
      </c>
      <c r="O1862" s="1" t="str">
        <f t="shared" si="549"/>
        <v>Y</v>
      </c>
      <c r="P1862" s="1" t="str">
        <f t="shared" si="544"/>
        <v>Y</v>
      </c>
      <c r="Q1862" s="1" t="str">
        <f t="shared" si="550"/>
        <v>A</v>
      </c>
    </row>
    <row r="1863" spans="1:17" x14ac:dyDescent="0.3">
      <c r="A1863" s="1" t="str">
        <f t="shared" si="565"/>
        <v>R1</v>
      </c>
      <c r="B1863" s="1" t="str">
        <f>"GNX079"</f>
        <v>GNX079</v>
      </c>
      <c r="C1863" s="1" t="str">
        <f>"비결핵성 질환(폐기종)"</f>
        <v>비결핵성 질환(폐기종)</v>
      </c>
      <c r="D1863" s="1" t="s">
        <v>509</v>
      </c>
      <c r="E1863" s="1" t="str">
        <f t="shared" si="569"/>
        <v>WOK02</v>
      </c>
      <c r="F1863" s="1" t="str">
        <f t="shared" ref="F1863:F1874" si="574">"PTM01"</f>
        <v>PTM01</v>
      </c>
      <c r="G1863" s="1" t="str">
        <f t="shared" si="572"/>
        <v>DISJ</v>
      </c>
      <c r="H1863" s="1" t="str">
        <f t="shared" ref="H1863:H1900" si="575">"REL02"</f>
        <v>REL02</v>
      </c>
      <c r="I1863" s="1" t="str">
        <f>""</f>
        <v/>
      </c>
      <c r="J1863" s="1" t="str">
        <f t="shared" ref="J1863:J1900" si="576">"C02D"</f>
        <v>C02D</v>
      </c>
      <c r="K1863" s="1" t="str">
        <f>"C02C"</f>
        <v>C02C</v>
      </c>
      <c r="L1863" s="1" t="str">
        <f t="shared" si="567"/>
        <v>R</v>
      </c>
      <c r="M1863" s="1" t="str">
        <f t="shared" si="573"/>
        <v>T04</v>
      </c>
      <c r="N1863" s="1" t="str">
        <f t="shared" si="568"/>
        <v>Y</v>
      </c>
      <c r="O1863" s="1" t="str">
        <f t="shared" si="549"/>
        <v>Y</v>
      </c>
      <c r="P1863" s="1" t="str">
        <f t="shared" si="544"/>
        <v>Y</v>
      </c>
      <c r="Q1863" s="1" t="str">
        <f t="shared" si="550"/>
        <v>A</v>
      </c>
    </row>
    <row r="1864" spans="1:17" x14ac:dyDescent="0.3">
      <c r="A1864" s="1" t="str">
        <f t="shared" si="565"/>
        <v>R1</v>
      </c>
      <c r="B1864" s="1" t="str">
        <f>"GNX0790"</f>
        <v>GNX0790</v>
      </c>
      <c r="C1864" s="1" t="str">
        <f>"비결핵성 질환(폐기종 의증)"</f>
        <v>비결핵성 질환(폐기종 의증)</v>
      </c>
      <c r="D1864" s="1" t="s">
        <v>510</v>
      </c>
      <c r="E1864" s="1" t="str">
        <f t="shared" si="569"/>
        <v>WOK02</v>
      </c>
      <c r="F1864" s="1" t="str">
        <f t="shared" si="574"/>
        <v>PTM01</v>
      </c>
      <c r="G1864" s="1" t="str">
        <f t="shared" si="572"/>
        <v>DISJ</v>
      </c>
      <c r="H1864" s="1" t="str">
        <f t="shared" si="575"/>
        <v>REL02</v>
      </c>
      <c r="I1864" s="1" t="str">
        <f>""</f>
        <v/>
      </c>
      <c r="J1864" s="1" t="str">
        <f t="shared" si="576"/>
        <v>C02D</v>
      </c>
      <c r="K1864" s="1" t="str">
        <f>"C02C"</f>
        <v>C02C</v>
      </c>
      <c r="L1864" s="1" t="str">
        <f t="shared" si="567"/>
        <v>R</v>
      </c>
      <c r="M1864" s="1" t="str">
        <f t="shared" si="573"/>
        <v>T04</v>
      </c>
      <c r="N1864" s="1" t="str">
        <f t="shared" si="568"/>
        <v>Y</v>
      </c>
      <c r="O1864" s="1" t="str">
        <f t="shared" si="549"/>
        <v>Y</v>
      </c>
      <c r="P1864" s="1" t="str">
        <f t="shared" si="544"/>
        <v>Y</v>
      </c>
      <c r="Q1864" s="1" t="str">
        <f t="shared" si="550"/>
        <v>A</v>
      </c>
    </row>
    <row r="1865" spans="1:17" x14ac:dyDescent="0.3">
      <c r="A1865" s="1" t="str">
        <f t="shared" si="565"/>
        <v>R1</v>
      </c>
      <c r="B1865" s="1" t="str">
        <f>"GNX081"</f>
        <v>GNX081</v>
      </c>
      <c r="C1865" s="1" t="str">
        <f>"비결핵성 질환(무기폐)"</f>
        <v>비결핵성 질환(무기폐)</v>
      </c>
      <c r="D1865" s="1" t="str">
        <f>"흉부방사선 검사 결과 무기폐 소견이 확인됩니다. 호흡기내과 진료를 받으시기 바랍니다."</f>
        <v>흉부방사선 검사 결과 무기폐 소견이 확인됩니다. 호흡기내과 진료를 받으시기 바랍니다.</v>
      </c>
      <c r="E1865" s="1" t="str">
        <f t="shared" si="569"/>
        <v>WOK02</v>
      </c>
      <c r="F1865" s="1" t="str">
        <f t="shared" si="574"/>
        <v>PTM01</v>
      </c>
      <c r="G1865" s="1" t="str">
        <f t="shared" si="572"/>
        <v>DISJ</v>
      </c>
      <c r="H1865" s="1" t="str">
        <f t="shared" si="575"/>
        <v>REL02</v>
      </c>
      <c r="I1865" s="1" t="str">
        <f>""</f>
        <v/>
      </c>
      <c r="J1865" s="1" t="str">
        <f t="shared" si="576"/>
        <v>C02D</v>
      </c>
      <c r="K1865" s="1" t="str">
        <f>"C02D"</f>
        <v>C02D</v>
      </c>
      <c r="L1865" s="1" t="str">
        <f t="shared" si="567"/>
        <v>R</v>
      </c>
      <c r="M1865" s="1" t="str">
        <f t="shared" si="573"/>
        <v>T04</v>
      </c>
      <c r="N1865" s="1" t="str">
        <f t="shared" si="568"/>
        <v>Y</v>
      </c>
      <c r="O1865" s="1" t="str">
        <f t="shared" si="549"/>
        <v>Y</v>
      </c>
      <c r="P1865" s="1" t="str">
        <f t="shared" si="544"/>
        <v>Y</v>
      </c>
      <c r="Q1865" s="1" t="str">
        <f t="shared" si="550"/>
        <v>A</v>
      </c>
    </row>
    <row r="1866" spans="1:17" x14ac:dyDescent="0.3">
      <c r="A1866" s="1" t="str">
        <f t="shared" si="565"/>
        <v>R1</v>
      </c>
      <c r="B1866" s="1" t="str">
        <f>"GNX0810"</f>
        <v>GNX0810</v>
      </c>
      <c r="C1866" s="1" t="str">
        <f>"비결핵성 질환(무기폐 의증)"</f>
        <v>비결핵성 질환(무기폐 의증)</v>
      </c>
      <c r="D1866" s="1" t="str">
        <f>"흉부방사선 검사 결과 무기폐 소견이 의심됩니다. 호흡기내과 진료를 받으시기 바랍니다."</f>
        <v>흉부방사선 검사 결과 무기폐 소견이 의심됩니다. 호흡기내과 진료를 받으시기 바랍니다.</v>
      </c>
      <c r="E1866" s="1" t="str">
        <f t="shared" si="569"/>
        <v>WOK02</v>
      </c>
      <c r="F1866" s="1" t="str">
        <f t="shared" si="574"/>
        <v>PTM01</v>
      </c>
      <c r="G1866" s="1" t="str">
        <f t="shared" si="572"/>
        <v>DISJ</v>
      </c>
      <c r="H1866" s="1" t="str">
        <f t="shared" si="575"/>
        <v>REL02</v>
      </c>
      <c r="I1866" s="1" t="str">
        <f>""</f>
        <v/>
      </c>
      <c r="J1866" s="1" t="str">
        <f t="shared" si="576"/>
        <v>C02D</v>
      </c>
      <c r="K1866" s="1" t="str">
        <f>"C02D"</f>
        <v>C02D</v>
      </c>
      <c r="L1866" s="1" t="str">
        <f t="shared" si="567"/>
        <v>R</v>
      </c>
      <c r="M1866" s="1" t="str">
        <f t="shared" si="573"/>
        <v>T04</v>
      </c>
      <c r="N1866" s="1" t="str">
        <f t="shared" si="568"/>
        <v>Y</v>
      </c>
      <c r="O1866" s="1" t="str">
        <f t="shared" si="549"/>
        <v>Y</v>
      </c>
      <c r="P1866" s="1" t="str">
        <f t="shared" ref="P1866:P1929" si="577">"Y"</f>
        <v>Y</v>
      </c>
      <c r="Q1866" s="1" t="str">
        <f t="shared" si="550"/>
        <v>A</v>
      </c>
    </row>
    <row r="1867" spans="1:17" x14ac:dyDescent="0.3">
      <c r="A1867" s="1" t="str">
        <f t="shared" si="565"/>
        <v>R1</v>
      </c>
      <c r="B1867" s="1" t="str">
        <f>"GNX082"</f>
        <v>GNX082</v>
      </c>
      <c r="C1867" s="1" t="str">
        <f>"비결핵성 질환(아분절성 무기폐)"</f>
        <v>비결핵성 질환(아분절성 무기폐)</v>
      </c>
      <c r="D1867" s="1" t="s">
        <v>511</v>
      </c>
      <c r="E1867" s="1" t="str">
        <f t="shared" si="569"/>
        <v>WOK02</v>
      </c>
      <c r="F1867" s="1" t="str">
        <f t="shared" si="574"/>
        <v>PTM01</v>
      </c>
      <c r="G1867" s="1" t="str">
        <f t="shared" si="572"/>
        <v>DISJ</v>
      </c>
      <c r="H1867" s="1" t="str">
        <f t="shared" si="575"/>
        <v>REL02</v>
      </c>
      <c r="I1867" s="1" t="str">
        <f>""</f>
        <v/>
      </c>
      <c r="J1867" s="1" t="str">
        <f t="shared" si="576"/>
        <v>C02D</v>
      </c>
      <c r="K1867" s="1" t="str">
        <f>"C02C"</f>
        <v>C02C</v>
      </c>
      <c r="L1867" s="1" t="str">
        <f t="shared" si="567"/>
        <v>R</v>
      </c>
      <c r="M1867" s="1" t="str">
        <f t="shared" si="573"/>
        <v>T04</v>
      </c>
      <c r="N1867" s="1" t="str">
        <f t="shared" si="568"/>
        <v>Y</v>
      </c>
      <c r="O1867" s="1" t="str">
        <f t="shared" si="549"/>
        <v>Y</v>
      </c>
      <c r="P1867" s="1" t="str">
        <f t="shared" si="577"/>
        <v>Y</v>
      </c>
      <c r="Q1867" s="1" t="str">
        <f t="shared" si="550"/>
        <v>A</v>
      </c>
    </row>
    <row r="1868" spans="1:17" x14ac:dyDescent="0.3">
      <c r="A1868" s="1" t="str">
        <f t="shared" si="565"/>
        <v>R1</v>
      </c>
      <c r="B1868" s="1" t="str">
        <f>"GNX0820"</f>
        <v>GNX0820</v>
      </c>
      <c r="C1868" s="1" t="str">
        <f>"비결핵성 질환(아분절성 무기폐 의증)"</f>
        <v>비결핵성 질환(아분절성 무기폐 의증)</v>
      </c>
      <c r="D1868" s="1" t="s">
        <v>512</v>
      </c>
      <c r="E1868" s="1" t="str">
        <f t="shared" si="569"/>
        <v>WOK02</v>
      </c>
      <c r="F1868" s="1" t="str">
        <f t="shared" si="574"/>
        <v>PTM01</v>
      </c>
      <c r="G1868" s="1" t="str">
        <f t="shared" si="572"/>
        <v>DISJ</v>
      </c>
      <c r="H1868" s="1" t="str">
        <f t="shared" si="575"/>
        <v>REL02</v>
      </c>
      <c r="I1868" s="1" t="str">
        <f>""</f>
        <v/>
      </c>
      <c r="J1868" s="1" t="str">
        <f t="shared" si="576"/>
        <v>C02D</v>
      </c>
      <c r="K1868" s="1" t="str">
        <f>"C02D"</f>
        <v>C02D</v>
      </c>
      <c r="L1868" s="1" t="str">
        <f t="shared" si="567"/>
        <v>R</v>
      </c>
      <c r="M1868" s="1" t="str">
        <f t="shared" si="573"/>
        <v>T04</v>
      </c>
      <c r="N1868" s="1" t="str">
        <f t="shared" si="568"/>
        <v>Y</v>
      </c>
      <c r="O1868" s="1" t="str">
        <f t="shared" si="549"/>
        <v>Y</v>
      </c>
      <c r="P1868" s="1" t="str">
        <f t="shared" si="577"/>
        <v>Y</v>
      </c>
      <c r="Q1868" s="1" t="str">
        <f t="shared" si="550"/>
        <v>A</v>
      </c>
    </row>
    <row r="1869" spans="1:17" x14ac:dyDescent="0.3">
      <c r="A1869" s="1" t="str">
        <f t="shared" si="565"/>
        <v>R1</v>
      </c>
      <c r="B1869" s="1" t="str">
        <f>"GNX083"</f>
        <v>GNX083</v>
      </c>
      <c r="C1869" s="1" t="str">
        <f>"비결핵성 질환(흉막비후)"</f>
        <v>비결핵성 질환(흉막비후)</v>
      </c>
      <c r="D1869" s="1" t="s">
        <v>513</v>
      </c>
      <c r="E1869" s="1" t="str">
        <f t="shared" si="569"/>
        <v>WOK02</v>
      </c>
      <c r="F1869" s="1" t="str">
        <f t="shared" si="574"/>
        <v>PTM01</v>
      </c>
      <c r="G1869" s="1" t="str">
        <f t="shared" si="572"/>
        <v>DISJ</v>
      </c>
      <c r="H1869" s="1" t="str">
        <f t="shared" si="575"/>
        <v>REL02</v>
      </c>
      <c r="I1869" s="1" t="str">
        <f>""</f>
        <v/>
      </c>
      <c r="J1869" s="1" t="str">
        <f t="shared" si="576"/>
        <v>C02D</v>
      </c>
      <c r="K1869" s="1" t="str">
        <f>"C02C"</f>
        <v>C02C</v>
      </c>
      <c r="L1869" s="1" t="str">
        <f t="shared" si="567"/>
        <v>R</v>
      </c>
      <c r="M1869" s="1" t="str">
        <f t="shared" si="573"/>
        <v>T04</v>
      </c>
      <c r="N1869" s="1" t="str">
        <f t="shared" si="568"/>
        <v>Y</v>
      </c>
      <c r="O1869" s="1" t="str">
        <f t="shared" si="549"/>
        <v>Y</v>
      </c>
      <c r="P1869" s="1" t="str">
        <f t="shared" si="577"/>
        <v>Y</v>
      </c>
      <c r="Q1869" s="1" t="str">
        <f t="shared" si="550"/>
        <v>A</v>
      </c>
    </row>
    <row r="1870" spans="1:17" x14ac:dyDescent="0.3">
      <c r="A1870" s="1" t="str">
        <f t="shared" si="565"/>
        <v>R1</v>
      </c>
      <c r="B1870" s="1" t="str">
        <f>"GNX0830"</f>
        <v>GNX0830</v>
      </c>
      <c r="C1870" s="1" t="str">
        <f>"비결핵성 질환(흉막비후 의증)"</f>
        <v>비결핵성 질환(흉막비후 의증)</v>
      </c>
      <c r="D1870" s="1" t="s">
        <v>514</v>
      </c>
      <c r="E1870" s="1" t="str">
        <f t="shared" si="569"/>
        <v>WOK02</v>
      </c>
      <c r="F1870" s="1" t="str">
        <f t="shared" si="574"/>
        <v>PTM01</v>
      </c>
      <c r="G1870" s="1" t="str">
        <f t="shared" si="572"/>
        <v>DISJ</v>
      </c>
      <c r="H1870" s="1" t="str">
        <f t="shared" si="575"/>
        <v>REL02</v>
      </c>
      <c r="I1870" s="1" t="str">
        <f>""</f>
        <v/>
      </c>
      <c r="J1870" s="1" t="str">
        <f t="shared" si="576"/>
        <v>C02D</v>
      </c>
      <c r="K1870" s="1" t="str">
        <f t="shared" ref="K1870:K1875" si="578">"C02D"</f>
        <v>C02D</v>
      </c>
      <c r="L1870" s="1" t="str">
        <f t="shared" si="567"/>
        <v>R</v>
      </c>
      <c r="M1870" s="1" t="str">
        <f t="shared" si="573"/>
        <v>T04</v>
      </c>
      <c r="N1870" s="1" t="str">
        <f t="shared" si="568"/>
        <v>Y</v>
      </c>
      <c r="O1870" s="1" t="str">
        <f t="shared" si="549"/>
        <v>Y</v>
      </c>
      <c r="P1870" s="1" t="str">
        <f t="shared" si="577"/>
        <v>Y</v>
      </c>
      <c r="Q1870" s="1" t="str">
        <f t="shared" si="550"/>
        <v>A</v>
      </c>
    </row>
    <row r="1871" spans="1:17" x14ac:dyDescent="0.3">
      <c r="A1871" s="1" t="str">
        <f t="shared" si="565"/>
        <v>R1</v>
      </c>
      <c r="B1871" s="1" t="str">
        <f>"GNX084"</f>
        <v>GNX084</v>
      </c>
      <c r="C1871" s="1" t="str">
        <f>"비결핵성 질환(기관지확장증)"</f>
        <v>비결핵성 질환(기관지확장증)</v>
      </c>
      <c r="D1871" s="1" t="s">
        <v>515</v>
      </c>
      <c r="E1871" s="1" t="str">
        <f t="shared" si="569"/>
        <v>WOK02</v>
      </c>
      <c r="F1871" s="1" t="str">
        <f t="shared" si="574"/>
        <v>PTM01</v>
      </c>
      <c r="G1871" s="1" t="str">
        <f t="shared" si="572"/>
        <v>DISJ</v>
      </c>
      <c r="H1871" s="1" t="str">
        <f t="shared" si="575"/>
        <v>REL02</v>
      </c>
      <c r="I1871" s="1" t="str">
        <f>""</f>
        <v/>
      </c>
      <c r="J1871" s="1" t="str">
        <f t="shared" si="576"/>
        <v>C02D</v>
      </c>
      <c r="K1871" s="1" t="str">
        <f t="shared" si="578"/>
        <v>C02D</v>
      </c>
      <c r="L1871" s="1" t="str">
        <f t="shared" si="567"/>
        <v>R</v>
      </c>
      <c r="M1871" s="1" t="str">
        <f t="shared" si="573"/>
        <v>T04</v>
      </c>
      <c r="N1871" s="1" t="str">
        <f t="shared" si="568"/>
        <v>Y</v>
      </c>
      <c r="O1871" s="1" t="str">
        <f t="shared" si="549"/>
        <v>Y</v>
      </c>
      <c r="P1871" s="1" t="str">
        <f t="shared" si="577"/>
        <v>Y</v>
      </c>
      <c r="Q1871" s="1" t="str">
        <f t="shared" si="550"/>
        <v>A</v>
      </c>
    </row>
    <row r="1872" spans="1:17" x14ac:dyDescent="0.3">
      <c r="A1872" s="1" t="str">
        <f t="shared" ref="A1872:A1903" si="579">"R1"</f>
        <v>R1</v>
      </c>
      <c r="B1872" s="1" t="str">
        <f>"GNX0840"</f>
        <v>GNX0840</v>
      </c>
      <c r="C1872" s="1" t="str">
        <f>"비결핵성 질환(기관지확장증 의증)"</f>
        <v>비결핵성 질환(기관지확장증 의증)</v>
      </c>
      <c r="D1872" s="1" t="s">
        <v>516</v>
      </c>
      <c r="E1872" s="1" t="str">
        <f t="shared" si="569"/>
        <v>WOK02</v>
      </c>
      <c r="F1872" s="1" t="str">
        <f t="shared" si="574"/>
        <v>PTM01</v>
      </c>
      <c r="G1872" s="1" t="str">
        <f t="shared" si="572"/>
        <v>DISJ</v>
      </c>
      <c r="H1872" s="1" t="str">
        <f t="shared" si="575"/>
        <v>REL02</v>
      </c>
      <c r="I1872" s="1" t="str">
        <f>""</f>
        <v/>
      </c>
      <c r="J1872" s="1" t="str">
        <f t="shared" si="576"/>
        <v>C02D</v>
      </c>
      <c r="K1872" s="1" t="str">
        <f t="shared" si="578"/>
        <v>C02D</v>
      </c>
      <c r="L1872" s="1" t="str">
        <f t="shared" si="567"/>
        <v>R</v>
      </c>
      <c r="M1872" s="1" t="str">
        <f t="shared" si="573"/>
        <v>T04</v>
      </c>
      <c r="N1872" s="1" t="str">
        <f t="shared" si="568"/>
        <v>Y</v>
      </c>
      <c r="O1872" s="1" t="str">
        <f t="shared" ref="O1872:O1935" si="580">"Y"</f>
        <v>Y</v>
      </c>
      <c r="P1872" s="1" t="str">
        <f t="shared" si="577"/>
        <v>Y</v>
      </c>
      <c r="Q1872" s="1" t="str">
        <f t="shared" si="550"/>
        <v>A</v>
      </c>
    </row>
    <row r="1873" spans="1:17" x14ac:dyDescent="0.3">
      <c r="A1873" s="1" t="str">
        <f t="shared" si="579"/>
        <v>R1</v>
      </c>
      <c r="B1873" s="1" t="str">
        <f>"GNX085"</f>
        <v>GNX085</v>
      </c>
      <c r="C1873" s="1" t="str">
        <f>"비결핵성 질환(간질성폐질환)"</f>
        <v>비결핵성 질환(간질성폐질환)</v>
      </c>
      <c r="D1873" s="1" t="str">
        <f>"흉부방사선 검사 결과 간질성폐질환 소견이 확인됩니다. 호흡기내과 진료를 받으시기 바랍니다."</f>
        <v>흉부방사선 검사 결과 간질성폐질환 소견이 확인됩니다. 호흡기내과 진료를 받으시기 바랍니다.</v>
      </c>
      <c r="E1873" s="1" t="str">
        <f t="shared" si="569"/>
        <v>WOK02</v>
      </c>
      <c r="F1873" s="1" t="str">
        <f t="shared" si="574"/>
        <v>PTM01</v>
      </c>
      <c r="G1873" s="1" t="str">
        <f t="shared" si="572"/>
        <v>DISJ</v>
      </c>
      <c r="H1873" s="1" t="str">
        <f t="shared" si="575"/>
        <v>REL02</v>
      </c>
      <c r="I1873" s="1" t="str">
        <f>""</f>
        <v/>
      </c>
      <c r="J1873" s="1" t="str">
        <f t="shared" si="576"/>
        <v>C02D</v>
      </c>
      <c r="K1873" s="1" t="str">
        <f t="shared" si="578"/>
        <v>C02D</v>
      </c>
      <c r="L1873" s="1" t="str">
        <f t="shared" si="567"/>
        <v>R</v>
      </c>
      <c r="M1873" s="1" t="str">
        <f t="shared" si="573"/>
        <v>T04</v>
      </c>
      <c r="N1873" s="1" t="str">
        <f t="shared" si="568"/>
        <v>Y</v>
      </c>
      <c r="O1873" s="1" t="str">
        <f t="shared" si="580"/>
        <v>Y</v>
      </c>
      <c r="P1873" s="1" t="str">
        <f t="shared" si="577"/>
        <v>Y</v>
      </c>
      <c r="Q1873" s="1" t="str">
        <f t="shared" si="550"/>
        <v>A</v>
      </c>
    </row>
    <row r="1874" spans="1:17" x14ac:dyDescent="0.3">
      <c r="A1874" s="1" t="str">
        <f t="shared" si="579"/>
        <v>R1</v>
      </c>
      <c r="B1874" s="1" t="str">
        <f>"GNX0850"</f>
        <v>GNX0850</v>
      </c>
      <c r="C1874" s="1" t="str">
        <f>"비결핵성 질환(간질성폐질환 의증)"</f>
        <v>비결핵성 질환(간질성폐질환 의증)</v>
      </c>
      <c r="D1874" s="1" t="str">
        <f>"흉부방사선 검사 결과 간질성폐질환 소견이 의심됩니다. 호흡기내과 진료를 받으시기 바랍니다."</f>
        <v>흉부방사선 검사 결과 간질성폐질환 소견이 의심됩니다. 호흡기내과 진료를 받으시기 바랍니다.</v>
      </c>
      <c r="E1874" s="1" t="str">
        <f t="shared" si="569"/>
        <v>WOK02</v>
      </c>
      <c r="F1874" s="1" t="str">
        <f t="shared" si="574"/>
        <v>PTM01</v>
      </c>
      <c r="G1874" s="1" t="str">
        <f t="shared" si="572"/>
        <v>DISJ</v>
      </c>
      <c r="H1874" s="1" t="str">
        <f t="shared" si="575"/>
        <v>REL02</v>
      </c>
      <c r="I1874" s="1" t="str">
        <f>""</f>
        <v/>
      </c>
      <c r="J1874" s="1" t="str">
        <f t="shared" si="576"/>
        <v>C02D</v>
      </c>
      <c r="K1874" s="1" t="str">
        <f t="shared" si="578"/>
        <v>C02D</v>
      </c>
      <c r="L1874" s="1" t="str">
        <f t="shared" si="567"/>
        <v>R</v>
      </c>
      <c r="M1874" s="1" t="str">
        <f t="shared" si="573"/>
        <v>T04</v>
      </c>
      <c r="N1874" s="1" t="str">
        <f t="shared" si="568"/>
        <v>Y</v>
      </c>
      <c r="O1874" s="1" t="str">
        <f t="shared" si="580"/>
        <v>Y</v>
      </c>
      <c r="P1874" s="1" t="str">
        <f t="shared" si="577"/>
        <v>Y</v>
      </c>
      <c r="Q1874" s="1" t="str">
        <f t="shared" ref="Q1874:Q1937" si="581">"A"</f>
        <v>A</v>
      </c>
    </row>
    <row r="1875" spans="1:17" x14ac:dyDescent="0.3">
      <c r="A1875" s="1" t="str">
        <f t="shared" si="579"/>
        <v>R1</v>
      </c>
      <c r="B1875" s="1" t="str">
        <f>"GNX086"</f>
        <v>GNX086</v>
      </c>
      <c r="C1875" s="1" t="str">
        <f>"비결핵성 질환(폐결절)"</f>
        <v>비결핵성 질환(폐결절)</v>
      </c>
      <c r="D1875" s="1" t="str">
        <f>"흉부방사선 검사 결과 폐결절 소견이 확인됩니다. 호흡기내과 진료를 받으시기 바랍니다."</f>
        <v>흉부방사선 검사 결과 폐결절 소견이 확인됩니다. 호흡기내과 진료를 받으시기 바랍니다.</v>
      </c>
      <c r="E1875" s="1" t="str">
        <f t="shared" si="569"/>
        <v>WOK02</v>
      </c>
      <c r="F1875" s="1" t="str">
        <f>"PTM04"</f>
        <v>PTM04</v>
      </c>
      <c r="G1875" s="1" t="str">
        <f t="shared" si="572"/>
        <v>DISJ</v>
      </c>
      <c r="H1875" s="1" t="str">
        <f t="shared" si="575"/>
        <v>REL02</v>
      </c>
      <c r="I1875" s="1" t="str">
        <f>""</f>
        <v/>
      </c>
      <c r="J1875" s="1" t="str">
        <f t="shared" si="576"/>
        <v>C02D</v>
      </c>
      <c r="K1875" s="1" t="str">
        <f t="shared" si="578"/>
        <v>C02D</v>
      </c>
      <c r="L1875" s="1" t="str">
        <f t="shared" si="567"/>
        <v>R</v>
      </c>
      <c r="M1875" s="1" t="str">
        <f t="shared" si="573"/>
        <v>T04</v>
      </c>
      <c r="N1875" s="1" t="str">
        <f t="shared" si="568"/>
        <v>Y</v>
      </c>
      <c r="O1875" s="1" t="str">
        <f t="shared" si="580"/>
        <v>Y</v>
      </c>
      <c r="P1875" s="1" t="str">
        <f t="shared" si="577"/>
        <v>Y</v>
      </c>
      <c r="Q1875" s="1" t="str">
        <f t="shared" si="581"/>
        <v>A</v>
      </c>
    </row>
    <row r="1876" spans="1:17" x14ac:dyDescent="0.3">
      <c r="A1876" s="1" t="str">
        <f t="shared" si="579"/>
        <v>R1</v>
      </c>
      <c r="B1876" s="1" t="str">
        <f>"GNX0860"</f>
        <v>GNX0860</v>
      </c>
      <c r="C1876" s="1" t="str">
        <f>"비결핵성 질환(폐결절 의증)"</f>
        <v>비결핵성 질환(폐결절 의증)</v>
      </c>
      <c r="D1876" s="1" t="str">
        <f>"흉부방사선 검사 결과 폐결절 소견이 의심됩니다. 호흡기내과 진료를 받으시기 바랍니다."</f>
        <v>흉부방사선 검사 결과 폐결절 소견이 의심됩니다. 호흡기내과 진료를 받으시기 바랍니다.</v>
      </c>
      <c r="E1876" s="1" t="str">
        <f t="shared" si="569"/>
        <v>WOK02</v>
      </c>
      <c r="F1876" s="1" t="str">
        <f>"PTM01"</f>
        <v>PTM01</v>
      </c>
      <c r="G1876" s="1" t="str">
        <f t="shared" si="572"/>
        <v>DISJ</v>
      </c>
      <c r="H1876" s="1" t="str">
        <f t="shared" si="575"/>
        <v>REL02</v>
      </c>
      <c r="I1876" s="1" t="str">
        <f>""</f>
        <v/>
      </c>
      <c r="J1876" s="1" t="str">
        <f t="shared" si="576"/>
        <v>C02D</v>
      </c>
      <c r="K1876" s="1" t="str">
        <f>"C02C"</f>
        <v>C02C</v>
      </c>
      <c r="L1876" s="1" t="str">
        <f t="shared" si="567"/>
        <v>R</v>
      </c>
      <c r="M1876" s="1" t="str">
        <f t="shared" si="573"/>
        <v>T04</v>
      </c>
      <c r="N1876" s="1" t="str">
        <f t="shared" si="568"/>
        <v>Y</v>
      </c>
      <c r="O1876" s="1" t="str">
        <f t="shared" si="580"/>
        <v>Y</v>
      </c>
      <c r="P1876" s="1" t="str">
        <f t="shared" si="577"/>
        <v>Y</v>
      </c>
      <c r="Q1876" s="1" t="str">
        <f t="shared" si="581"/>
        <v>A</v>
      </c>
    </row>
    <row r="1877" spans="1:17" x14ac:dyDescent="0.3">
      <c r="A1877" s="1" t="str">
        <f t="shared" si="579"/>
        <v>R1</v>
      </c>
      <c r="B1877" s="1" t="str">
        <f>"GNX0861"</f>
        <v>GNX0861</v>
      </c>
      <c r="C1877" s="1" t="str">
        <f>"비결핵성 질환(가성병변이 의심되는 폐의 증가된 음영)"</f>
        <v>비결핵성 질환(가성병변이 의심되는 폐의 증가된 음영)</v>
      </c>
      <c r="D1877" s="1" t="s">
        <v>517</v>
      </c>
      <c r="E1877" s="1" t="str">
        <f t="shared" si="569"/>
        <v>WOK02</v>
      </c>
      <c r="F1877" s="1" t="str">
        <f>"PTM03"</f>
        <v>PTM03</v>
      </c>
      <c r="G1877" s="1" t="str">
        <f t="shared" si="572"/>
        <v>DISJ</v>
      </c>
      <c r="H1877" s="1" t="str">
        <f t="shared" si="575"/>
        <v>REL02</v>
      </c>
      <c r="I1877" s="1" t="str">
        <f>""</f>
        <v/>
      </c>
      <c r="J1877" s="1" t="str">
        <f t="shared" si="576"/>
        <v>C02D</v>
      </c>
      <c r="K1877" s="1" t="str">
        <f>"C02C"</f>
        <v>C02C</v>
      </c>
      <c r="L1877" s="1" t="str">
        <f t="shared" si="567"/>
        <v>R</v>
      </c>
      <c r="M1877" s="1" t="str">
        <f t="shared" si="573"/>
        <v>T04</v>
      </c>
      <c r="N1877" s="1" t="str">
        <f t="shared" si="568"/>
        <v>Y</v>
      </c>
      <c r="O1877" s="1" t="str">
        <f t="shared" si="580"/>
        <v>Y</v>
      </c>
      <c r="P1877" s="1" t="str">
        <f t="shared" si="577"/>
        <v>Y</v>
      </c>
      <c r="Q1877" s="1" t="str">
        <f t="shared" si="581"/>
        <v>A</v>
      </c>
    </row>
    <row r="1878" spans="1:17" x14ac:dyDescent="0.3">
      <c r="A1878" s="1" t="str">
        <f t="shared" si="579"/>
        <v>R1</v>
      </c>
      <c r="B1878" s="1" t="str">
        <f>"GNX087"</f>
        <v>GNX087</v>
      </c>
      <c r="C1878" s="1" t="str">
        <f>"비결핵성 질환(척추측만증)"</f>
        <v>비결핵성 질환(척추측만증)</v>
      </c>
      <c r="D1878" s="1" t="s">
        <v>518</v>
      </c>
      <c r="E1878" s="1" t="str">
        <f t="shared" si="569"/>
        <v>WOK02</v>
      </c>
      <c r="F1878" s="1" t="str">
        <f t="shared" ref="F1878:F1884" si="582">"PTM01"</f>
        <v>PTM01</v>
      </c>
      <c r="G1878" s="1" t="str">
        <f t="shared" si="572"/>
        <v>DISJ</v>
      </c>
      <c r="H1878" s="1" t="str">
        <f t="shared" si="575"/>
        <v>REL02</v>
      </c>
      <c r="I1878" s="1" t="str">
        <f>""</f>
        <v/>
      </c>
      <c r="J1878" s="1" t="str">
        <f t="shared" si="576"/>
        <v>C02D</v>
      </c>
      <c r="K1878" s="1" t="str">
        <f>"C02D"</f>
        <v>C02D</v>
      </c>
      <c r="L1878" s="1" t="str">
        <f t="shared" ref="L1878:L1908" si="583">"R"</f>
        <v>R</v>
      </c>
      <c r="M1878" s="1" t="str">
        <f t="shared" si="573"/>
        <v>T04</v>
      </c>
      <c r="N1878" s="1" t="str">
        <f t="shared" ref="N1878:N1908" si="584">"Y"</f>
        <v>Y</v>
      </c>
      <c r="O1878" s="1" t="str">
        <f t="shared" si="580"/>
        <v>Y</v>
      </c>
      <c r="P1878" s="1" t="str">
        <f t="shared" si="577"/>
        <v>Y</v>
      </c>
      <c r="Q1878" s="1" t="str">
        <f t="shared" si="581"/>
        <v>A</v>
      </c>
    </row>
    <row r="1879" spans="1:17" x14ac:dyDescent="0.3">
      <c r="A1879" s="1" t="str">
        <f t="shared" si="579"/>
        <v>R1</v>
      </c>
      <c r="B1879" s="1" t="str">
        <f>"GNX088"</f>
        <v>GNX088</v>
      </c>
      <c r="C1879" s="1" t="str">
        <f>"비결핵성 질환(폐렴)"</f>
        <v>비결핵성 질환(폐렴)</v>
      </c>
      <c r="D1879" s="1" t="s">
        <v>519</v>
      </c>
      <c r="E1879" s="1" t="str">
        <f t="shared" si="569"/>
        <v>WOK02</v>
      </c>
      <c r="F1879" s="1" t="str">
        <f t="shared" si="582"/>
        <v>PTM01</v>
      </c>
      <c r="G1879" s="1" t="str">
        <f t="shared" si="572"/>
        <v>DISJ</v>
      </c>
      <c r="H1879" s="1" t="str">
        <f t="shared" si="575"/>
        <v>REL02</v>
      </c>
      <c r="I1879" s="1" t="str">
        <f>""</f>
        <v/>
      </c>
      <c r="J1879" s="1" t="str">
        <f t="shared" si="576"/>
        <v>C02D</v>
      </c>
      <c r="K1879" s="1" t="str">
        <f>"C02D"</f>
        <v>C02D</v>
      </c>
      <c r="L1879" s="1" t="str">
        <f t="shared" si="583"/>
        <v>R</v>
      </c>
      <c r="M1879" s="1" t="str">
        <f t="shared" si="573"/>
        <v>T04</v>
      </c>
      <c r="N1879" s="1" t="str">
        <f t="shared" si="584"/>
        <v>Y</v>
      </c>
      <c r="O1879" s="1" t="str">
        <f t="shared" si="580"/>
        <v>Y</v>
      </c>
      <c r="P1879" s="1" t="str">
        <f t="shared" si="577"/>
        <v>Y</v>
      </c>
      <c r="Q1879" s="1" t="str">
        <f t="shared" si="581"/>
        <v>A</v>
      </c>
    </row>
    <row r="1880" spans="1:17" x14ac:dyDescent="0.3">
      <c r="A1880" s="1" t="str">
        <f t="shared" si="579"/>
        <v>R1</v>
      </c>
      <c r="B1880" s="1" t="str">
        <f>"GNX0880"</f>
        <v>GNX0880</v>
      </c>
      <c r="C1880" s="1" t="str">
        <f>"비결핵성 질환(폐렴 의증)"</f>
        <v>비결핵성 질환(폐렴 의증)</v>
      </c>
      <c r="D1880" s="1" t="s">
        <v>520</v>
      </c>
      <c r="E1880" s="1" t="str">
        <f t="shared" si="569"/>
        <v>WOK02</v>
      </c>
      <c r="F1880" s="1" t="str">
        <f t="shared" si="582"/>
        <v>PTM01</v>
      </c>
      <c r="G1880" s="1" t="str">
        <f t="shared" si="572"/>
        <v>DISJ</v>
      </c>
      <c r="H1880" s="1" t="str">
        <f t="shared" si="575"/>
        <v>REL02</v>
      </c>
      <c r="I1880" s="1" t="str">
        <f>""</f>
        <v/>
      </c>
      <c r="J1880" s="1" t="str">
        <f t="shared" si="576"/>
        <v>C02D</v>
      </c>
      <c r="K1880" s="1" t="str">
        <f>"C02C"</f>
        <v>C02C</v>
      </c>
      <c r="L1880" s="1" t="str">
        <f t="shared" si="583"/>
        <v>R</v>
      </c>
      <c r="M1880" s="1" t="str">
        <f t="shared" si="573"/>
        <v>T04</v>
      </c>
      <c r="N1880" s="1" t="str">
        <f t="shared" si="584"/>
        <v>Y</v>
      </c>
      <c r="O1880" s="1" t="str">
        <f t="shared" si="580"/>
        <v>Y</v>
      </c>
      <c r="P1880" s="1" t="str">
        <f t="shared" si="577"/>
        <v>Y</v>
      </c>
      <c r="Q1880" s="1" t="str">
        <f t="shared" si="581"/>
        <v>A</v>
      </c>
    </row>
    <row r="1881" spans="1:17" x14ac:dyDescent="0.3">
      <c r="A1881" s="1" t="str">
        <f t="shared" si="579"/>
        <v>R1</v>
      </c>
      <c r="B1881" s="1" t="str">
        <f>"GNX089"</f>
        <v>GNX089</v>
      </c>
      <c r="C1881" s="1" t="str">
        <f>"비결핵성 질환(기관지염)"</f>
        <v>비결핵성 질환(기관지염)</v>
      </c>
      <c r="D1881" s="1" t="s">
        <v>521</v>
      </c>
      <c r="E1881" s="1" t="str">
        <f t="shared" si="569"/>
        <v>WOK02</v>
      </c>
      <c r="F1881" s="1" t="str">
        <f t="shared" si="582"/>
        <v>PTM01</v>
      </c>
      <c r="G1881" s="1" t="str">
        <f t="shared" si="572"/>
        <v>DISJ</v>
      </c>
      <c r="H1881" s="1" t="str">
        <f t="shared" si="575"/>
        <v>REL02</v>
      </c>
      <c r="I1881" s="1" t="str">
        <f>""</f>
        <v/>
      </c>
      <c r="J1881" s="1" t="str">
        <f t="shared" si="576"/>
        <v>C02D</v>
      </c>
      <c r="K1881" s="1" t="str">
        <f>"C02D"</f>
        <v>C02D</v>
      </c>
      <c r="L1881" s="1" t="str">
        <f t="shared" si="583"/>
        <v>R</v>
      </c>
      <c r="M1881" s="1" t="str">
        <f t="shared" si="573"/>
        <v>T04</v>
      </c>
      <c r="N1881" s="1" t="str">
        <f t="shared" si="584"/>
        <v>Y</v>
      </c>
      <c r="O1881" s="1" t="str">
        <f t="shared" si="580"/>
        <v>Y</v>
      </c>
      <c r="P1881" s="1" t="str">
        <f t="shared" si="577"/>
        <v>Y</v>
      </c>
      <c r="Q1881" s="1" t="str">
        <f t="shared" si="581"/>
        <v>A</v>
      </c>
    </row>
    <row r="1882" spans="1:17" x14ac:dyDescent="0.3">
      <c r="A1882" s="1" t="str">
        <f t="shared" si="579"/>
        <v>R1</v>
      </c>
      <c r="B1882" s="1" t="str">
        <f>"GNX0890"</f>
        <v>GNX0890</v>
      </c>
      <c r="C1882" s="1" t="str">
        <f>"비결핵성 질환(기관지염 의증)"</f>
        <v>비결핵성 질환(기관지염 의증)</v>
      </c>
      <c r="D1882" s="1" t="s">
        <v>522</v>
      </c>
      <c r="E1882" s="1" t="str">
        <f t="shared" si="569"/>
        <v>WOK02</v>
      </c>
      <c r="F1882" s="1" t="str">
        <f t="shared" si="582"/>
        <v>PTM01</v>
      </c>
      <c r="G1882" s="1" t="str">
        <f t="shared" si="572"/>
        <v>DISJ</v>
      </c>
      <c r="H1882" s="1" t="str">
        <f t="shared" si="575"/>
        <v>REL02</v>
      </c>
      <c r="I1882" s="1" t="str">
        <f>""</f>
        <v/>
      </c>
      <c r="J1882" s="1" t="str">
        <f t="shared" si="576"/>
        <v>C02D</v>
      </c>
      <c r="K1882" s="1" t="str">
        <f>"C02C"</f>
        <v>C02C</v>
      </c>
      <c r="L1882" s="1" t="str">
        <f t="shared" si="583"/>
        <v>R</v>
      </c>
      <c r="M1882" s="1" t="str">
        <f t="shared" si="573"/>
        <v>T04</v>
      </c>
      <c r="N1882" s="1" t="str">
        <f t="shared" si="584"/>
        <v>Y</v>
      </c>
      <c r="O1882" s="1" t="str">
        <f t="shared" si="580"/>
        <v>Y</v>
      </c>
      <c r="P1882" s="1" t="str">
        <f t="shared" si="577"/>
        <v>Y</v>
      </c>
      <c r="Q1882" s="1" t="str">
        <f t="shared" si="581"/>
        <v>A</v>
      </c>
    </row>
    <row r="1883" spans="1:17" x14ac:dyDescent="0.3">
      <c r="A1883" s="1" t="str">
        <f t="shared" si="579"/>
        <v>R1</v>
      </c>
      <c r="B1883" s="1" t="str">
        <f>"GNX090"</f>
        <v>GNX090</v>
      </c>
      <c r="C1883" s="1" t="str">
        <f>"비결핵성 질환(폐기포)"</f>
        <v>비결핵성 질환(폐기포)</v>
      </c>
      <c r="D1883" s="1" t="str">
        <f>"흉부방사선 검사 결과 폐기포 소견이 확인됩니다. 호흡기내과 진료를 받으시기 바랍니다."</f>
        <v>흉부방사선 검사 결과 폐기포 소견이 확인됩니다. 호흡기내과 진료를 받으시기 바랍니다.</v>
      </c>
      <c r="E1883" s="1" t="str">
        <f t="shared" si="569"/>
        <v>WOK02</v>
      </c>
      <c r="F1883" s="1" t="str">
        <f t="shared" si="582"/>
        <v>PTM01</v>
      </c>
      <c r="G1883" s="1" t="str">
        <f t="shared" si="572"/>
        <v>DISJ</v>
      </c>
      <c r="H1883" s="1" t="str">
        <f t="shared" si="575"/>
        <v>REL02</v>
      </c>
      <c r="I1883" s="1" t="str">
        <f>""</f>
        <v/>
      </c>
      <c r="J1883" s="1" t="str">
        <f t="shared" si="576"/>
        <v>C02D</v>
      </c>
      <c r="K1883" s="1" t="str">
        <f>"C02D"</f>
        <v>C02D</v>
      </c>
      <c r="L1883" s="1" t="str">
        <f t="shared" si="583"/>
        <v>R</v>
      </c>
      <c r="M1883" s="1" t="str">
        <f t="shared" si="573"/>
        <v>T04</v>
      </c>
      <c r="N1883" s="1" t="str">
        <f t="shared" si="584"/>
        <v>Y</v>
      </c>
      <c r="O1883" s="1" t="str">
        <f t="shared" si="580"/>
        <v>Y</v>
      </c>
      <c r="P1883" s="1" t="str">
        <f t="shared" si="577"/>
        <v>Y</v>
      </c>
      <c r="Q1883" s="1" t="str">
        <f t="shared" si="581"/>
        <v>A</v>
      </c>
    </row>
    <row r="1884" spans="1:17" x14ac:dyDescent="0.3">
      <c r="A1884" s="1" t="str">
        <f t="shared" si="579"/>
        <v>R1</v>
      </c>
      <c r="B1884" s="1" t="str">
        <f>"GNX0900"</f>
        <v>GNX0900</v>
      </c>
      <c r="C1884" s="1" t="str">
        <f>"비결핵성 질환(폐기포 의증)"</f>
        <v>비결핵성 질환(폐기포 의증)</v>
      </c>
      <c r="D1884" s="1" t="str">
        <f>"흉부방사선 검사 결과 폐기포 소견이 의심됩니다. 호흡기내과 진료를 받으시기 바랍니다."</f>
        <v>흉부방사선 검사 결과 폐기포 소견이 의심됩니다. 호흡기내과 진료를 받으시기 바랍니다.</v>
      </c>
      <c r="E1884" s="1" t="str">
        <f t="shared" ref="E1884:E1901" si="585">"WOK02"</f>
        <v>WOK02</v>
      </c>
      <c r="F1884" s="1" t="str">
        <f t="shared" si="582"/>
        <v>PTM01</v>
      </c>
      <c r="G1884" s="1" t="str">
        <f t="shared" si="572"/>
        <v>DISJ</v>
      </c>
      <c r="H1884" s="1" t="str">
        <f t="shared" si="575"/>
        <v>REL02</v>
      </c>
      <c r="I1884" s="1" t="str">
        <f>""</f>
        <v/>
      </c>
      <c r="J1884" s="1" t="str">
        <f t="shared" si="576"/>
        <v>C02D</v>
      </c>
      <c r="K1884" s="1" t="str">
        <f>"C02C"</f>
        <v>C02C</v>
      </c>
      <c r="L1884" s="1" t="str">
        <f t="shared" si="583"/>
        <v>R</v>
      </c>
      <c r="M1884" s="1" t="str">
        <f t="shared" si="573"/>
        <v>T04</v>
      </c>
      <c r="N1884" s="1" t="str">
        <f t="shared" si="584"/>
        <v>Y</v>
      </c>
      <c r="O1884" s="1" t="str">
        <f t="shared" si="580"/>
        <v>Y</v>
      </c>
      <c r="P1884" s="1" t="str">
        <f t="shared" si="577"/>
        <v>Y</v>
      </c>
      <c r="Q1884" s="1" t="str">
        <f t="shared" si="581"/>
        <v>A</v>
      </c>
    </row>
    <row r="1885" spans="1:17" x14ac:dyDescent="0.3">
      <c r="A1885" s="1" t="str">
        <f t="shared" si="579"/>
        <v>R1</v>
      </c>
      <c r="B1885" s="1" t="str">
        <f>"GNX091"</f>
        <v>GNX091</v>
      </c>
      <c r="C1885" s="1" t="str">
        <f>"비결핵성 질환(기흉)"</f>
        <v>비결핵성 질환(기흉)</v>
      </c>
      <c r="D1885" s="1" t="str">
        <f>"흉부방사선 검사 결과 기흉 소견이 확인됩니다. 흉부외과 진료를 받으시기 바랍니다."</f>
        <v>흉부방사선 검사 결과 기흉 소견이 확인됩니다. 흉부외과 진료를 받으시기 바랍니다.</v>
      </c>
      <c r="E1885" s="1" t="str">
        <f t="shared" si="585"/>
        <v>WOK02</v>
      </c>
      <c r="F1885" s="1" t="str">
        <f>"PTM04"</f>
        <v>PTM04</v>
      </c>
      <c r="G1885" s="1" t="str">
        <f t="shared" si="572"/>
        <v>DISJ</v>
      </c>
      <c r="H1885" s="1" t="str">
        <f t="shared" si="575"/>
        <v>REL02</v>
      </c>
      <c r="I1885" s="1" t="str">
        <f>""</f>
        <v/>
      </c>
      <c r="J1885" s="1" t="str">
        <f t="shared" si="576"/>
        <v>C02D</v>
      </c>
      <c r="K1885" s="1" t="str">
        <f>"C02D"</f>
        <v>C02D</v>
      </c>
      <c r="L1885" s="1" t="str">
        <f t="shared" si="583"/>
        <v>R</v>
      </c>
      <c r="M1885" s="1" t="str">
        <f t="shared" si="573"/>
        <v>T04</v>
      </c>
      <c r="N1885" s="1" t="str">
        <f t="shared" si="584"/>
        <v>Y</v>
      </c>
      <c r="O1885" s="1" t="str">
        <f t="shared" si="580"/>
        <v>Y</v>
      </c>
      <c r="P1885" s="1" t="str">
        <f t="shared" si="577"/>
        <v>Y</v>
      </c>
      <c r="Q1885" s="1" t="str">
        <f t="shared" si="581"/>
        <v>A</v>
      </c>
    </row>
    <row r="1886" spans="1:17" x14ac:dyDescent="0.3">
      <c r="A1886" s="1" t="str">
        <f t="shared" si="579"/>
        <v>R1</v>
      </c>
      <c r="B1886" s="1" t="str">
        <f>"GNX0910"</f>
        <v>GNX0910</v>
      </c>
      <c r="C1886" s="1" t="str">
        <f>"비결핵성 질환(기흉 의증)"</f>
        <v>비결핵성 질환(기흉 의증)</v>
      </c>
      <c r="D1886" s="1" t="str">
        <f>"흉부방사선 검사 결과 기흉 소견이 의심됩니다. 흉부외과 진료를 받으시기 바랍니다."</f>
        <v>흉부방사선 검사 결과 기흉 소견이 의심됩니다. 흉부외과 진료를 받으시기 바랍니다.</v>
      </c>
      <c r="E1886" s="1" t="str">
        <f t="shared" si="585"/>
        <v>WOK02</v>
      </c>
      <c r="F1886" s="1" t="str">
        <f t="shared" ref="F1886:F1892" si="586">"PTM01"</f>
        <v>PTM01</v>
      </c>
      <c r="G1886" s="1" t="str">
        <f t="shared" si="572"/>
        <v>DISJ</v>
      </c>
      <c r="H1886" s="1" t="str">
        <f t="shared" si="575"/>
        <v>REL02</v>
      </c>
      <c r="I1886" s="1" t="str">
        <f>""</f>
        <v/>
      </c>
      <c r="J1886" s="1" t="str">
        <f t="shared" si="576"/>
        <v>C02D</v>
      </c>
      <c r="K1886" s="1" t="str">
        <f>"C02C"</f>
        <v>C02C</v>
      </c>
      <c r="L1886" s="1" t="str">
        <f t="shared" si="583"/>
        <v>R</v>
      </c>
      <c r="M1886" s="1" t="str">
        <f t="shared" si="573"/>
        <v>T04</v>
      </c>
      <c r="N1886" s="1" t="str">
        <f t="shared" si="584"/>
        <v>Y</v>
      </c>
      <c r="O1886" s="1" t="str">
        <f t="shared" si="580"/>
        <v>Y</v>
      </c>
      <c r="P1886" s="1" t="str">
        <f t="shared" si="577"/>
        <v>Y</v>
      </c>
      <c r="Q1886" s="1" t="str">
        <f t="shared" si="581"/>
        <v>A</v>
      </c>
    </row>
    <row r="1887" spans="1:17" x14ac:dyDescent="0.3">
      <c r="A1887" s="1" t="str">
        <f t="shared" si="579"/>
        <v>R1</v>
      </c>
      <c r="B1887" s="1" t="str">
        <f>"GNX092"</f>
        <v>GNX092</v>
      </c>
      <c r="C1887" s="1" t="str">
        <f>"비결핵성 질환(석회화 결절)"</f>
        <v>비결핵성 질환(석회화 결절)</v>
      </c>
      <c r="D1887" s="1" t="s">
        <v>523</v>
      </c>
      <c r="E1887" s="1" t="str">
        <f t="shared" si="585"/>
        <v>WOK02</v>
      </c>
      <c r="F1887" s="1" t="str">
        <f t="shared" si="586"/>
        <v>PTM01</v>
      </c>
      <c r="G1887" s="1" t="str">
        <f t="shared" si="572"/>
        <v>DISJ</v>
      </c>
      <c r="H1887" s="1" t="str">
        <f t="shared" si="575"/>
        <v>REL02</v>
      </c>
      <c r="I1887" s="1" t="str">
        <f>""</f>
        <v/>
      </c>
      <c r="J1887" s="1" t="str">
        <f t="shared" si="576"/>
        <v>C02D</v>
      </c>
      <c r="K1887" s="1" t="str">
        <f>"C02D"</f>
        <v>C02D</v>
      </c>
      <c r="L1887" s="1" t="str">
        <f t="shared" si="583"/>
        <v>R</v>
      </c>
      <c r="M1887" s="1" t="str">
        <f t="shared" si="573"/>
        <v>T04</v>
      </c>
      <c r="N1887" s="1" t="str">
        <f t="shared" si="584"/>
        <v>Y</v>
      </c>
      <c r="O1887" s="1" t="str">
        <f t="shared" si="580"/>
        <v>Y</v>
      </c>
      <c r="P1887" s="1" t="str">
        <f t="shared" si="577"/>
        <v>Y</v>
      </c>
      <c r="Q1887" s="1" t="str">
        <f t="shared" si="581"/>
        <v>A</v>
      </c>
    </row>
    <row r="1888" spans="1:17" x14ac:dyDescent="0.3">
      <c r="A1888" s="1" t="str">
        <f t="shared" si="579"/>
        <v>R1</v>
      </c>
      <c r="B1888" s="1" t="str">
        <f>"GNX0920"</f>
        <v>GNX0920</v>
      </c>
      <c r="C1888" s="1" t="str">
        <f>"비결핵성 질환(석회화 결절 의증)"</f>
        <v>비결핵성 질환(석회화 결절 의증)</v>
      </c>
      <c r="D1888" s="1" t="s">
        <v>524</v>
      </c>
      <c r="E1888" s="1" t="str">
        <f t="shared" si="585"/>
        <v>WOK02</v>
      </c>
      <c r="F1888" s="1" t="str">
        <f t="shared" si="586"/>
        <v>PTM01</v>
      </c>
      <c r="G1888" s="1" t="str">
        <f t="shared" si="572"/>
        <v>DISJ</v>
      </c>
      <c r="H1888" s="1" t="str">
        <f t="shared" si="575"/>
        <v>REL02</v>
      </c>
      <c r="I1888" s="1" t="str">
        <f>""</f>
        <v/>
      </c>
      <c r="J1888" s="1" t="str">
        <f t="shared" si="576"/>
        <v>C02D</v>
      </c>
      <c r="K1888" s="1" t="str">
        <f>"C02C"</f>
        <v>C02C</v>
      </c>
      <c r="L1888" s="1" t="str">
        <f t="shared" si="583"/>
        <v>R</v>
      </c>
      <c r="M1888" s="1" t="str">
        <f t="shared" si="573"/>
        <v>T04</v>
      </c>
      <c r="N1888" s="1" t="str">
        <f t="shared" si="584"/>
        <v>Y</v>
      </c>
      <c r="O1888" s="1" t="str">
        <f t="shared" si="580"/>
        <v>Y</v>
      </c>
      <c r="P1888" s="1" t="str">
        <f t="shared" si="577"/>
        <v>Y</v>
      </c>
      <c r="Q1888" s="1" t="str">
        <f t="shared" si="581"/>
        <v>A</v>
      </c>
    </row>
    <row r="1889" spans="1:17" x14ac:dyDescent="0.3">
      <c r="A1889" s="1" t="str">
        <f t="shared" si="579"/>
        <v>R1</v>
      </c>
      <c r="B1889" s="1" t="str">
        <f>"GNX093"</f>
        <v>GNX093</v>
      </c>
      <c r="C1889" s="1" t="str">
        <f>"비결핵성 질환(흉막 삼출)"</f>
        <v>비결핵성 질환(흉막 삼출)</v>
      </c>
      <c r="D1889" s="1" t="str">
        <f>"흉부방사선 검사 결과 흉막 삼출 소견이 확인됩니다. 호흡기내과 진료를 받으시기 바랍니다."</f>
        <v>흉부방사선 검사 결과 흉막 삼출 소견이 확인됩니다. 호흡기내과 진료를 받으시기 바랍니다.</v>
      </c>
      <c r="E1889" s="1" t="str">
        <f t="shared" si="585"/>
        <v>WOK02</v>
      </c>
      <c r="F1889" s="1" t="str">
        <f t="shared" si="586"/>
        <v>PTM01</v>
      </c>
      <c r="G1889" s="1" t="str">
        <f t="shared" si="572"/>
        <v>DISJ</v>
      </c>
      <c r="H1889" s="1" t="str">
        <f t="shared" si="575"/>
        <v>REL02</v>
      </c>
      <c r="I1889" s="1" t="str">
        <f>""</f>
        <v/>
      </c>
      <c r="J1889" s="1" t="str">
        <f t="shared" si="576"/>
        <v>C02D</v>
      </c>
      <c r="K1889" s="1" t="str">
        <f>"C02D"</f>
        <v>C02D</v>
      </c>
      <c r="L1889" s="1" t="str">
        <f t="shared" si="583"/>
        <v>R</v>
      </c>
      <c r="M1889" s="1" t="str">
        <f t="shared" si="573"/>
        <v>T04</v>
      </c>
      <c r="N1889" s="1" t="str">
        <f t="shared" si="584"/>
        <v>Y</v>
      </c>
      <c r="O1889" s="1" t="str">
        <f t="shared" si="580"/>
        <v>Y</v>
      </c>
      <c r="P1889" s="1" t="str">
        <f t="shared" si="577"/>
        <v>Y</v>
      </c>
      <c r="Q1889" s="1" t="str">
        <f t="shared" si="581"/>
        <v>A</v>
      </c>
    </row>
    <row r="1890" spans="1:17" x14ac:dyDescent="0.3">
      <c r="A1890" s="1" t="str">
        <f t="shared" si="579"/>
        <v>R1</v>
      </c>
      <c r="B1890" s="1" t="str">
        <f>"GNX0930"</f>
        <v>GNX0930</v>
      </c>
      <c r="C1890" s="1" t="str">
        <f>"비결핵성 질환(흉막 삼출 의증)"</f>
        <v>비결핵성 질환(흉막 삼출 의증)</v>
      </c>
      <c r="D1890" s="1" t="str">
        <f>"흉부방사선 검사 결과 흉막 삼출 소견이 의심됩니다. 호흡기내과 진료를 받으시기 바랍니다."</f>
        <v>흉부방사선 검사 결과 흉막 삼출 소견이 의심됩니다. 호흡기내과 진료를 받으시기 바랍니다.</v>
      </c>
      <c r="E1890" s="1" t="str">
        <f t="shared" si="585"/>
        <v>WOK02</v>
      </c>
      <c r="F1890" s="1" t="str">
        <f t="shared" si="586"/>
        <v>PTM01</v>
      </c>
      <c r="G1890" s="1" t="str">
        <f t="shared" si="572"/>
        <v>DISJ</v>
      </c>
      <c r="H1890" s="1" t="str">
        <f t="shared" si="575"/>
        <v>REL02</v>
      </c>
      <c r="I1890" s="1" t="str">
        <f>""</f>
        <v/>
      </c>
      <c r="J1890" s="1" t="str">
        <f t="shared" si="576"/>
        <v>C02D</v>
      </c>
      <c r="K1890" s="1" t="str">
        <f>"C02C"</f>
        <v>C02C</v>
      </c>
      <c r="L1890" s="1" t="str">
        <f t="shared" si="583"/>
        <v>R</v>
      </c>
      <c r="M1890" s="1" t="str">
        <f t="shared" si="573"/>
        <v>T04</v>
      </c>
      <c r="N1890" s="1" t="str">
        <f t="shared" si="584"/>
        <v>Y</v>
      </c>
      <c r="O1890" s="1" t="str">
        <f t="shared" si="580"/>
        <v>Y</v>
      </c>
      <c r="P1890" s="1" t="str">
        <f t="shared" si="577"/>
        <v>Y</v>
      </c>
      <c r="Q1890" s="1" t="str">
        <f t="shared" si="581"/>
        <v>A</v>
      </c>
    </row>
    <row r="1891" spans="1:17" x14ac:dyDescent="0.3">
      <c r="A1891" s="1" t="str">
        <f t="shared" si="579"/>
        <v>R1</v>
      </c>
      <c r="B1891" s="1" t="str">
        <f>"GNX094"</f>
        <v>GNX094</v>
      </c>
      <c r="C1891" s="1" t="str">
        <f>"비결핵성 질환(폐문부 음영 증가)"</f>
        <v>비결핵성 질환(폐문부 음영 증가)</v>
      </c>
      <c r="D1891" s="1" t="str">
        <f>"흉부방사선 검사 결과 폐문부 음영 증가 소견이 확인됩니다. 호흡기내과 진료를 받으시기 바랍니다."</f>
        <v>흉부방사선 검사 결과 폐문부 음영 증가 소견이 확인됩니다. 호흡기내과 진료를 받으시기 바랍니다.</v>
      </c>
      <c r="E1891" s="1" t="str">
        <f t="shared" si="585"/>
        <v>WOK02</v>
      </c>
      <c r="F1891" s="1" t="str">
        <f t="shared" si="586"/>
        <v>PTM01</v>
      </c>
      <c r="G1891" s="1" t="str">
        <f t="shared" si="572"/>
        <v>DISJ</v>
      </c>
      <c r="H1891" s="1" t="str">
        <f t="shared" si="575"/>
        <v>REL02</v>
      </c>
      <c r="I1891" s="1" t="str">
        <f>""</f>
        <v/>
      </c>
      <c r="J1891" s="1" t="str">
        <f t="shared" si="576"/>
        <v>C02D</v>
      </c>
      <c r="K1891" s="1" t="str">
        <f>"C02C"</f>
        <v>C02C</v>
      </c>
      <c r="L1891" s="1" t="str">
        <f t="shared" si="583"/>
        <v>R</v>
      </c>
      <c r="M1891" s="1" t="str">
        <f t="shared" si="573"/>
        <v>T04</v>
      </c>
      <c r="N1891" s="1" t="str">
        <f t="shared" si="584"/>
        <v>Y</v>
      </c>
      <c r="O1891" s="1" t="str">
        <f t="shared" si="580"/>
        <v>Y</v>
      </c>
      <c r="P1891" s="1" t="str">
        <f t="shared" si="577"/>
        <v>Y</v>
      </c>
      <c r="Q1891" s="1" t="str">
        <f t="shared" si="581"/>
        <v>A</v>
      </c>
    </row>
    <row r="1892" spans="1:17" x14ac:dyDescent="0.3">
      <c r="A1892" s="1" t="str">
        <f t="shared" si="579"/>
        <v>R1</v>
      </c>
      <c r="B1892" s="1" t="str">
        <f>"GNX0940"</f>
        <v>GNX0940</v>
      </c>
      <c r="C1892" s="1" t="str">
        <f>"비결핵성 질환(폐문부 음영 증가 의증)"</f>
        <v>비결핵성 질환(폐문부 음영 증가 의증)</v>
      </c>
      <c r="D1892" s="1" t="str">
        <f>"흉부방사선 검사 결과 폐문부 음영 증가 소견이 의심됩니다. 호흡기내과 진료를 받으시기 바랍니다."</f>
        <v>흉부방사선 검사 결과 폐문부 음영 증가 소견이 의심됩니다. 호흡기내과 진료를 받으시기 바랍니다.</v>
      </c>
      <c r="E1892" s="1" t="str">
        <f t="shared" si="585"/>
        <v>WOK02</v>
      </c>
      <c r="F1892" s="1" t="str">
        <f t="shared" si="586"/>
        <v>PTM01</v>
      </c>
      <c r="G1892" s="1" t="str">
        <f t="shared" si="572"/>
        <v>DISJ</v>
      </c>
      <c r="H1892" s="1" t="str">
        <f t="shared" si="575"/>
        <v>REL02</v>
      </c>
      <c r="I1892" s="1" t="str">
        <f>""</f>
        <v/>
      </c>
      <c r="J1892" s="1" t="str">
        <f t="shared" si="576"/>
        <v>C02D</v>
      </c>
      <c r="K1892" s="1" t="str">
        <f>"C02C"</f>
        <v>C02C</v>
      </c>
      <c r="L1892" s="1" t="str">
        <f t="shared" si="583"/>
        <v>R</v>
      </c>
      <c r="M1892" s="1" t="str">
        <f t="shared" si="573"/>
        <v>T04</v>
      </c>
      <c r="N1892" s="1" t="str">
        <f t="shared" si="584"/>
        <v>Y</v>
      </c>
      <c r="O1892" s="1" t="str">
        <f t="shared" si="580"/>
        <v>Y</v>
      </c>
      <c r="P1892" s="1" t="str">
        <f t="shared" si="577"/>
        <v>Y</v>
      </c>
      <c r="Q1892" s="1" t="str">
        <f t="shared" si="581"/>
        <v>A</v>
      </c>
    </row>
    <row r="1893" spans="1:17" x14ac:dyDescent="0.3">
      <c r="A1893" s="1" t="str">
        <f t="shared" si="579"/>
        <v>R1</v>
      </c>
      <c r="B1893" s="1" t="str">
        <f>"GNX095"</f>
        <v>GNX095</v>
      </c>
      <c r="C1893" s="1" t="str">
        <f>"비결핵성 질환(종격동 종괴)"</f>
        <v>비결핵성 질환(종격동 종괴)</v>
      </c>
      <c r="D1893" s="1" t="str">
        <f>"흉부방사선 검사 결과 종격동 종괴 소견이 확인됩니다. 호흡기내과 진료를 받으시기 바랍니다."</f>
        <v>흉부방사선 검사 결과 종격동 종괴 소견이 확인됩니다. 호흡기내과 진료를 받으시기 바랍니다.</v>
      </c>
      <c r="E1893" s="1" t="str">
        <f t="shared" si="585"/>
        <v>WOK02</v>
      </c>
      <c r="F1893" s="1" t="str">
        <f>"PTM04"</f>
        <v>PTM04</v>
      </c>
      <c r="G1893" s="1" t="str">
        <f t="shared" si="572"/>
        <v>DISJ</v>
      </c>
      <c r="H1893" s="1" t="str">
        <f t="shared" si="575"/>
        <v>REL02</v>
      </c>
      <c r="I1893" s="1" t="str">
        <f>""</f>
        <v/>
      </c>
      <c r="J1893" s="1" t="str">
        <f t="shared" si="576"/>
        <v>C02D</v>
      </c>
      <c r="K1893" s="1" t="str">
        <f>"C02D"</f>
        <v>C02D</v>
      </c>
      <c r="L1893" s="1" t="str">
        <f t="shared" si="583"/>
        <v>R</v>
      </c>
      <c r="M1893" s="1" t="str">
        <f t="shared" si="573"/>
        <v>T04</v>
      </c>
      <c r="N1893" s="1" t="str">
        <f t="shared" si="584"/>
        <v>Y</v>
      </c>
      <c r="O1893" s="1" t="str">
        <f t="shared" si="580"/>
        <v>Y</v>
      </c>
      <c r="P1893" s="1" t="str">
        <f t="shared" si="577"/>
        <v>Y</v>
      </c>
      <c r="Q1893" s="1" t="str">
        <f t="shared" si="581"/>
        <v>A</v>
      </c>
    </row>
    <row r="1894" spans="1:17" x14ac:dyDescent="0.3">
      <c r="A1894" s="1" t="str">
        <f t="shared" si="579"/>
        <v>R1</v>
      </c>
      <c r="B1894" s="1" t="str">
        <f>"GNX0950"</f>
        <v>GNX0950</v>
      </c>
      <c r="C1894" s="1" t="str">
        <f>"비결핵성 질환(종격동 종괴 의증)"</f>
        <v>비결핵성 질환(종격동 종괴 의증)</v>
      </c>
      <c r="D1894" s="1" t="str">
        <f>"흉부방사선 검사 결과 종격동 종괴 소견이 의심됩니다. 호흡기내과 진료를 받으시기 바랍니다."</f>
        <v>흉부방사선 검사 결과 종격동 종괴 소견이 의심됩니다. 호흡기내과 진료를 받으시기 바랍니다.</v>
      </c>
      <c r="E1894" s="1" t="str">
        <f t="shared" si="585"/>
        <v>WOK02</v>
      </c>
      <c r="F1894" s="1" t="str">
        <f t="shared" ref="F1894:F1900" si="587">"PTM01"</f>
        <v>PTM01</v>
      </c>
      <c r="G1894" s="1" t="str">
        <f t="shared" si="572"/>
        <v>DISJ</v>
      </c>
      <c r="H1894" s="1" t="str">
        <f t="shared" si="575"/>
        <v>REL02</v>
      </c>
      <c r="I1894" s="1" t="str">
        <f>""</f>
        <v/>
      </c>
      <c r="J1894" s="1" t="str">
        <f t="shared" si="576"/>
        <v>C02D</v>
      </c>
      <c r="K1894" s="1" t="str">
        <f>"C02C"</f>
        <v>C02C</v>
      </c>
      <c r="L1894" s="1" t="str">
        <f t="shared" si="583"/>
        <v>R</v>
      </c>
      <c r="M1894" s="1" t="str">
        <f t="shared" si="573"/>
        <v>T04</v>
      </c>
      <c r="N1894" s="1" t="str">
        <f t="shared" si="584"/>
        <v>Y</v>
      </c>
      <c r="O1894" s="1" t="str">
        <f t="shared" si="580"/>
        <v>Y</v>
      </c>
      <c r="P1894" s="1" t="str">
        <f t="shared" si="577"/>
        <v>Y</v>
      </c>
      <c r="Q1894" s="1" t="str">
        <f t="shared" si="581"/>
        <v>A</v>
      </c>
    </row>
    <row r="1895" spans="1:17" x14ac:dyDescent="0.3">
      <c r="A1895" s="1" t="str">
        <f t="shared" si="579"/>
        <v>R1</v>
      </c>
      <c r="B1895" s="1" t="str">
        <f>"GNX096"</f>
        <v>GNX096</v>
      </c>
      <c r="C1895" s="1" t="str">
        <f>"비결핵성 질환(흉막 석회화)"</f>
        <v>비결핵성 질환(흉막 석회화)</v>
      </c>
      <c r="D1895" s="1" t="s">
        <v>525</v>
      </c>
      <c r="E1895" s="1" t="str">
        <f t="shared" si="585"/>
        <v>WOK02</v>
      </c>
      <c r="F1895" s="1" t="str">
        <f t="shared" si="587"/>
        <v>PTM01</v>
      </c>
      <c r="G1895" s="1" t="str">
        <f t="shared" si="572"/>
        <v>DISJ</v>
      </c>
      <c r="H1895" s="1" t="str">
        <f t="shared" si="575"/>
        <v>REL02</v>
      </c>
      <c r="I1895" s="1" t="str">
        <f>""</f>
        <v/>
      </c>
      <c r="J1895" s="1" t="str">
        <f t="shared" si="576"/>
        <v>C02D</v>
      </c>
      <c r="K1895" s="1" t="str">
        <f>"C02D"</f>
        <v>C02D</v>
      </c>
      <c r="L1895" s="1" t="str">
        <f t="shared" si="583"/>
        <v>R</v>
      </c>
      <c r="M1895" s="1" t="str">
        <f t="shared" si="573"/>
        <v>T04</v>
      </c>
      <c r="N1895" s="1" t="str">
        <f t="shared" si="584"/>
        <v>Y</v>
      </c>
      <c r="O1895" s="1" t="str">
        <f t="shared" si="580"/>
        <v>Y</v>
      </c>
      <c r="P1895" s="1" t="str">
        <f t="shared" si="577"/>
        <v>Y</v>
      </c>
      <c r="Q1895" s="1" t="str">
        <f t="shared" si="581"/>
        <v>A</v>
      </c>
    </row>
    <row r="1896" spans="1:17" x14ac:dyDescent="0.3">
      <c r="A1896" s="1" t="str">
        <f t="shared" si="579"/>
        <v>R1</v>
      </c>
      <c r="B1896" s="1" t="str">
        <f>"GNX0960"</f>
        <v>GNX0960</v>
      </c>
      <c r="C1896" s="1" t="str">
        <f>"비결핵성 질환(흉막 석회화 의증)"</f>
        <v>비결핵성 질환(흉막 석회화 의증)</v>
      </c>
      <c r="D1896" s="1" t="s">
        <v>526</v>
      </c>
      <c r="E1896" s="1" t="str">
        <f t="shared" si="585"/>
        <v>WOK02</v>
      </c>
      <c r="F1896" s="1" t="str">
        <f t="shared" si="587"/>
        <v>PTM01</v>
      </c>
      <c r="G1896" s="1" t="str">
        <f t="shared" si="572"/>
        <v>DISJ</v>
      </c>
      <c r="H1896" s="1" t="str">
        <f t="shared" si="575"/>
        <v>REL02</v>
      </c>
      <c r="I1896" s="1" t="str">
        <f>""</f>
        <v/>
      </c>
      <c r="J1896" s="1" t="str">
        <f t="shared" si="576"/>
        <v>C02D</v>
      </c>
      <c r="K1896" s="1" t="str">
        <f>"C02C"</f>
        <v>C02C</v>
      </c>
      <c r="L1896" s="1" t="str">
        <f t="shared" si="583"/>
        <v>R</v>
      </c>
      <c r="M1896" s="1" t="str">
        <f t="shared" si="573"/>
        <v>T04</v>
      </c>
      <c r="N1896" s="1" t="str">
        <f t="shared" si="584"/>
        <v>Y</v>
      </c>
      <c r="O1896" s="1" t="str">
        <f t="shared" si="580"/>
        <v>Y</v>
      </c>
      <c r="P1896" s="1" t="str">
        <f t="shared" si="577"/>
        <v>Y</v>
      </c>
      <c r="Q1896" s="1" t="str">
        <f t="shared" si="581"/>
        <v>A</v>
      </c>
    </row>
    <row r="1897" spans="1:17" x14ac:dyDescent="0.3">
      <c r="A1897" s="1" t="str">
        <f t="shared" si="579"/>
        <v>R1</v>
      </c>
      <c r="B1897" s="1" t="str">
        <f>"GNX097"</f>
        <v>GNX097</v>
      </c>
      <c r="C1897" s="1" t="str">
        <f>"비결핵성 질환(간유리음영)"</f>
        <v>비결핵성 질환(간유리음영)</v>
      </c>
      <c r="D1897" s="1" t="str">
        <f>"흉부방사선 검사 결과 간유리 음영 소견이 확인됩니다. 호흡기내과 진료를 받으시기 바랍니다."</f>
        <v>흉부방사선 검사 결과 간유리 음영 소견이 확인됩니다. 호흡기내과 진료를 받으시기 바랍니다.</v>
      </c>
      <c r="E1897" s="1" t="str">
        <f t="shared" si="585"/>
        <v>WOK02</v>
      </c>
      <c r="F1897" s="1" t="str">
        <f t="shared" si="587"/>
        <v>PTM01</v>
      </c>
      <c r="G1897" s="1" t="str">
        <f t="shared" si="572"/>
        <v>DISJ</v>
      </c>
      <c r="H1897" s="1" t="str">
        <f t="shared" si="575"/>
        <v>REL02</v>
      </c>
      <c r="I1897" s="1" t="str">
        <f>""</f>
        <v/>
      </c>
      <c r="J1897" s="1" t="str">
        <f t="shared" si="576"/>
        <v>C02D</v>
      </c>
      <c r="K1897" s="1" t="str">
        <f>"C02D"</f>
        <v>C02D</v>
      </c>
      <c r="L1897" s="1" t="str">
        <f t="shared" si="583"/>
        <v>R</v>
      </c>
      <c r="M1897" s="1" t="str">
        <f t="shared" si="573"/>
        <v>T04</v>
      </c>
      <c r="N1897" s="1" t="str">
        <f t="shared" si="584"/>
        <v>Y</v>
      </c>
      <c r="O1897" s="1" t="str">
        <f t="shared" si="580"/>
        <v>Y</v>
      </c>
      <c r="P1897" s="1" t="str">
        <f t="shared" si="577"/>
        <v>Y</v>
      </c>
      <c r="Q1897" s="1" t="str">
        <f t="shared" si="581"/>
        <v>A</v>
      </c>
    </row>
    <row r="1898" spans="1:17" x14ac:dyDescent="0.3">
      <c r="A1898" s="1" t="str">
        <f t="shared" si="579"/>
        <v>R1</v>
      </c>
      <c r="B1898" s="1" t="str">
        <f>"GNX0970"</f>
        <v>GNX0970</v>
      </c>
      <c r="C1898" s="1" t="str">
        <f>"비결핵성 질환(간유리음영 의증)"</f>
        <v>비결핵성 질환(간유리음영 의증)</v>
      </c>
      <c r="D1898" s="1" t="str">
        <f>"흉부방사선 검사 결과 간유리 음영 소견이 의심됩니다. 호흡기내과 진료를 받으시기 바랍니다."</f>
        <v>흉부방사선 검사 결과 간유리 음영 소견이 의심됩니다. 호흡기내과 진료를 받으시기 바랍니다.</v>
      </c>
      <c r="E1898" s="1" t="str">
        <f t="shared" si="585"/>
        <v>WOK02</v>
      </c>
      <c r="F1898" s="1" t="str">
        <f t="shared" si="587"/>
        <v>PTM01</v>
      </c>
      <c r="G1898" s="1" t="str">
        <f t="shared" si="572"/>
        <v>DISJ</v>
      </c>
      <c r="H1898" s="1" t="str">
        <f t="shared" si="575"/>
        <v>REL02</v>
      </c>
      <c r="I1898" s="1" t="str">
        <f>""</f>
        <v/>
      </c>
      <c r="J1898" s="1" t="str">
        <f t="shared" si="576"/>
        <v>C02D</v>
      </c>
      <c r="K1898" s="1" t="str">
        <f>"C02C"</f>
        <v>C02C</v>
      </c>
      <c r="L1898" s="1" t="str">
        <f t="shared" si="583"/>
        <v>R</v>
      </c>
      <c r="M1898" s="1" t="str">
        <f t="shared" si="573"/>
        <v>T04</v>
      </c>
      <c r="N1898" s="1" t="str">
        <f t="shared" si="584"/>
        <v>Y</v>
      </c>
      <c r="O1898" s="1" t="str">
        <f t="shared" si="580"/>
        <v>Y</v>
      </c>
      <c r="P1898" s="1" t="str">
        <f t="shared" si="577"/>
        <v>Y</v>
      </c>
      <c r="Q1898" s="1" t="str">
        <f t="shared" si="581"/>
        <v>A</v>
      </c>
    </row>
    <row r="1899" spans="1:17" x14ac:dyDescent="0.3">
      <c r="A1899" s="1" t="str">
        <f t="shared" si="579"/>
        <v>R1</v>
      </c>
      <c r="B1899" s="1" t="str">
        <f>"GNX098"</f>
        <v>GNX098</v>
      </c>
      <c r="C1899" s="1" t="str">
        <f>"비결핵성 질환(국소 음영 증가)"</f>
        <v>비결핵성 질환(국소 음영 증가)</v>
      </c>
      <c r="D1899" s="1" t="str">
        <f>"흉부방사선 검사 결과 국소적인 음영 증가 소견이 확인됩니다. 호흡기내과 진료를 받으시기 바랍니다."</f>
        <v>흉부방사선 검사 결과 국소적인 음영 증가 소견이 확인됩니다. 호흡기내과 진료를 받으시기 바랍니다.</v>
      </c>
      <c r="E1899" s="1" t="str">
        <f t="shared" si="585"/>
        <v>WOK02</v>
      </c>
      <c r="F1899" s="1" t="str">
        <f t="shared" si="587"/>
        <v>PTM01</v>
      </c>
      <c r="G1899" s="1" t="str">
        <f t="shared" si="572"/>
        <v>DISJ</v>
      </c>
      <c r="H1899" s="1" t="str">
        <f t="shared" si="575"/>
        <v>REL02</v>
      </c>
      <c r="I1899" s="1" t="str">
        <f>""</f>
        <v/>
      </c>
      <c r="J1899" s="1" t="str">
        <f t="shared" si="576"/>
        <v>C02D</v>
      </c>
      <c r="K1899" s="1" t="str">
        <f>"C02C"</f>
        <v>C02C</v>
      </c>
      <c r="L1899" s="1" t="str">
        <f t="shared" si="583"/>
        <v>R</v>
      </c>
      <c r="M1899" s="1" t="str">
        <f t="shared" si="573"/>
        <v>T04</v>
      </c>
      <c r="N1899" s="1" t="str">
        <f t="shared" si="584"/>
        <v>Y</v>
      </c>
      <c r="O1899" s="1" t="str">
        <f t="shared" si="580"/>
        <v>Y</v>
      </c>
      <c r="P1899" s="1" t="str">
        <f t="shared" si="577"/>
        <v>Y</v>
      </c>
      <c r="Q1899" s="1" t="str">
        <f t="shared" si="581"/>
        <v>A</v>
      </c>
    </row>
    <row r="1900" spans="1:17" x14ac:dyDescent="0.3">
      <c r="A1900" s="1" t="str">
        <f t="shared" si="579"/>
        <v>R1</v>
      </c>
      <c r="B1900" s="1" t="str">
        <f>"GNX0990"</f>
        <v>GNX0990</v>
      </c>
      <c r="C1900" s="1" t="str">
        <f>"비결핵성 질환(국소 음영 증가 의증)"</f>
        <v>비결핵성 질환(국소 음영 증가 의증)</v>
      </c>
      <c r="D1900" s="1" t="str">
        <f>"흉부방사선 검사 결과 국소적인 음영 증가 소견이 의심됩니다. 호흡기내과 진료를 받으시기 바랍니다."</f>
        <v>흉부방사선 검사 결과 국소적인 음영 증가 소견이 의심됩니다. 호흡기내과 진료를 받으시기 바랍니다.</v>
      </c>
      <c r="E1900" s="1" t="str">
        <f t="shared" si="585"/>
        <v>WOK02</v>
      </c>
      <c r="F1900" s="1" t="str">
        <f t="shared" si="587"/>
        <v>PTM01</v>
      </c>
      <c r="G1900" s="1" t="str">
        <f t="shared" si="572"/>
        <v>DISJ</v>
      </c>
      <c r="H1900" s="1" t="str">
        <f t="shared" si="575"/>
        <v>REL02</v>
      </c>
      <c r="I1900" s="1" t="str">
        <f>""</f>
        <v/>
      </c>
      <c r="J1900" s="1" t="str">
        <f t="shared" si="576"/>
        <v>C02D</v>
      </c>
      <c r="K1900" s="1" t="str">
        <f>"C02C"</f>
        <v>C02C</v>
      </c>
      <c r="L1900" s="1" t="str">
        <f t="shared" si="583"/>
        <v>R</v>
      </c>
      <c r="M1900" s="1" t="str">
        <f t="shared" si="573"/>
        <v>T04</v>
      </c>
      <c r="N1900" s="1" t="str">
        <f t="shared" si="584"/>
        <v>Y</v>
      </c>
      <c r="O1900" s="1" t="str">
        <f t="shared" si="580"/>
        <v>Y</v>
      </c>
      <c r="P1900" s="1" t="str">
        <f t="shared" si="577"/>
        <v>Y</v>
      </c>
      <c r="Q1900" s="1" t="str">
        <f t="shared" si="581"/>
        <v>A</v>
      </c>
    </row>
    <row r="1901" spans="1:17" x14ac:dyDescent="0.3">
      <c r="A1901" s="1" t="str">
        <f t="shared" si="579"/>
        <v>R1</v>
      </c>
      <c r="B1901" s="1" t="str">
        <f>"HEPLT7"</f>
        <v>HEPLT7</v>
      </c>
      <c r="C1901" s="1" t="str">
        <f>"B형간염 보균자"</f>
        <v>B형간염 보균자</v>
      </c>
      <c r="D1901" s="1" t="str">
        <f>"B형간염 바이러스에 의한 간 염증이 현재 있는 상태로 판단됩니다. 내과를 방문하시여 치료를 받으세요."</f>
        <v>B형간염 바이러스에 의한 간 염증이 현재 있는 상태로 판단됩니다. 내과를 방문하시여 치료를 받으세요.</v>
      </c>
      <c r="E1901" s="1" t="str">
        <f t="shared" si="585"/>
        <v>WOK02</v>
      </c>
      <c r="F1901" s="1" t="str">
        <f>"PTM04"</f>
        <v>PTM04</v>
      </c>
      <c r="G1901" s="1" t="str">
        <f>"DISB"</f>
        <v>DISB</v>
      </c>
      <c r="H1901" s="1" t="str">
        <f>"REL05"</f>
        <v>REL05</v>
      </c>
      <c r="I1901" s="1" t="str">
        <f>""</f>
        <v/>
      </c>
      <c r="J1901" s="1" t="str">
        <f>"C05D"</f>
        <v>C05D</v>
      </c>
      <c r="K1901" s="1" t="str">
        <f>"C05D"</f>
        <v>C05D</v>
      </c>
      <c r="L1901" s="1" t="str">
        <f t="shared" si="583"/>
        <v>R</v>
      </c>
      <c r="M1901" s="1" t="str">
        <f>"T02"</f>
        <v>T02</v>
      </c>
      <c r="N1901" s="1" t="str">
        <f t="shared" si="584"/>
        <v>Y</v>
      </c>
      <c r="O1901" s="1" t="str">
        <f t="shared" si="580"/>
        <v>Y</v>
      </c>
      <c r="P1901" s="1" t="str">
        <f t="shared" si="577"/>
        <v>Y</v>
      </c>
      <c r="Q1901" s="1" t="str">
        <f t="shared" si="581"/>
        <v>A</v>
      </c>
    </row>
    <row r="1902" spans="1:17" x14ac:dyDescent="0.3">
      <c r="A1902" s="1" t="str">
        <f t="shared" si="579"/>
        <v>R1</v>
      </c>
      <c r="B1902" s="1" t="str">
        <f>"HWLUNG02"</f>
        <v>HWLUNG02</v>
      </c>
      <c r="C1902" s="1" t="str">
        <f>"만성폐쇄성폐질환 의심"</f>
        <v>만성폐쇄성폐질환 의심</v>
      </c>
      <c r="D1902" s="1" t="str">
        <f>"만성폐쇄성폐질환이 의심됩니다. 가까운 병/의원을 방문하여 진료를 받으십시오."</f>
        <v>만성폐쇄성폐질환이 의심됩니다. 가까운 병/의원을 방문하여 진료를 받으십시오.</v>
      </c>
      <c r="E1902" s="1" t="str">
        <f>""</f>
        <v/>
      </c>
      <c r="F1902" s="1" t="str">
        <f>"PTM00"</f>
        <v>PTM00</v>
      </c>
      <c r="G1902" s="1" t="str">
        <f>"DISJ"</f>
        <v>DISJ</v>
      </c>
      <c r="H1902" s="1" t="str">
        <f>"REL92"</f>
        <v>REL92</v>
      </c>
      <c r="I1902" s="1" t="str">
        <f>""</f>
        <v/>
      </c>
      <c r="J1902" s="1" t="str">
        <f>""</f>
        <v/>
      </c>
      <c r="K1902" s="1" t="str">
        <f>""</f>
        <v/>
      </c>
      <c r="L1902" s="1" t="str">
        <f t="shared" si="583"/>
        <v>R</v>
      </c>
      <c r="M1902" s="1" t="str">
        <f>"T04"</f>
        <v>T04</v>
      </c>
      <c r="N1902" s="1" t="str">
        <f t="shared" si="584"/>
        <v>Y</v>
      </c>
      <c r="O1902" s="1" t="str">
        <f t="shared" si="580"/>
        <v>Y</v>
      </c>
      <c r="P1902" s="1" t="str">
        <f t="shared" si="577"/>
        <v>Y</v>
      </c>
      <c r="Q1902" s="1" t="str">
        <f t="shared" si="581"/>
        <v>A</v>
      </c>
    </row>
    <row r="1903" spans="1:17" x14ac:dyDescent="0.3">
      <c r="A1903" s="1" t="str">
        <f t="shared" si="579"/>
        <v>R1</v>
      </c>
      <c r="B1903" s="1" t="str">
        <f>"HWLUNG03"</f>
        <v>HWLUNG03</v>
      </c>
      <c r="C1903" s="1" t="str">
        <f>"기타 폐기능 이상"</f>
        <v>기타 폐기능 이상</v>
      </c>
      <c r="D1903" s="1" t="str">
        <f>"폐기능 이상이 의심됩니다. 가까운 병/의원을 방문하여 진료를 받으십시오."</f>
        <v>폐기능 이상이 의심됩니다. 가까운 병/의원을 방문하여 진료를 받으십시오.</v>
      </c>
      <c r="E1903" s="1" t="str">
        <f>""</f>
        <v/>
      </c>
      <c r="F1903" s="1" t="str">
        <f>"PTM00"</f>
        <v>PTM00</v>
      </c>
      <c r="G1903" s="1" t="str">
        <f>"DISJ"</f>
        <v>DISJ</v>
      </c>
      <c r="H1903" s="1" t="str">
        <f>"REL92"</f>
        <v>REL92</v>
      </c>
      <c r="I1903" s="1" t="str">
        <f>""</f>
        <v/>
      </c>
      <c r="J1903" s="1" t="str">
        <f>""</f>
        <v/>
      </c>
      <c r="K1903" s="1" t="str">
        <f>""</f>
        <v/>
      </c>
      <c r="L1903" s="1" t="str">
        <f t="shared" si="583"/>
        <v>R</v>
      </c>
      <c r="M1903" s="1" t="str">
        <f>"T04"</f>
        <v>T04</v>
      </c>
      <c r="N1903" s="1" t="str">
        <f t="shared" si="584"/>
        <v>Y</v>
      </c>
      <c r="O1903" s="1" t="str">
        <f t="shared" si="580"/>
        <v>Y</v>
      </c>
      <c r="P1903" s="1" t="str">
        <f t="shared" si="577"/>
        <v>Y</v>
      </c>
      <c r="Q1903" s="1" t="str">
        <f t="shared" si="581"/>
        <v>A</v>
      </c>
    </row>
    <row r="1904" spans="1:17" x14ac:dyDescent="0.3">
      <c r="A1904" s="1" t="str">
        <f t="shared" ref="A1904:A1919" si="588">"R1"</f>
        <v>R1</v>
      </c>
      <c r="B1904" s="1" t="str">
        <f>"IL01DMD401"</f>
        <v>IL01DMD401</v>
      </c>
      <c r="C1904" s="1" t="str">
        <f>"당뇨병 의심"</f>
        <v>당뇨병 의심</v>
      </c>
      <c r="D1904" s="1" t="str">
        <f>"혈당이 증가하여 당뇨병이 의심됩니다. 내과 또는 가정의학과 내원하여 진료 바랍니다."</f>
        <v>혈당이 증가하여 당뇨병이 의심됩니다. 내과 또는 가정의학과 내원하여 진료 바랍니다.</v>
      </c>
      <c r="E1904" s="1" t="str">
        <f>"WOK02"</f>
        <v>WOK02</v>
      </c>
      <c r="F1904" s="1" t="str">
        <f>""</f>
        <v/>
      </c>
      <c r="G1904" s="1" t="str">
        <f>"DISE"</f>
        <v>DISE</v>
      </c>
      <c r="H1904" s="1" t="str">
        <f>"REL07"</f>
        <v>REL07</v>
      </c>
      <c r="I1904" s="1" t="str">
        <f>""</f>
        <v/>
      </c>
      <c r="J1904" s="1" t="str">
        <f>"C06R"</f>
        <v>C06R</v>
      </c>
      <c r="K1904" s="1" t="str">
        <f>"C06R"</f>
        <v>C06R</v>
      </c>
      <c r="L1904" s="1" t="str">
        <f t="shared" si="583"/>
        <v>R</v>
      </c>
      <c r="M1904" s="1" t="str">
        <f>"T03"</f>
        <v>T03</v>
      </c>
      <c r="N1904" s="1" t="str">
        <f t="shared" si="584"/>
        <v>Y</v>
      </c>
      <c r="O1904" s="1" t="str">
        <f t="shared" si="580"/>
        <v>Y</v>
      </c>
      <c r="P1904" s="1" t="str">
        <f t="shared" si="577"/>
        <v>Y</v>
      </c>
      <c r="Q1904" s="1" t="str">
        <f t="shared" si="581"/>
        <v>A</v>
      </c>
    </row>
    <row r="1905" spans="1:17" x14ac:dyDescent="0.3">
      <c r="A1905" s="1" t="str">
        <f t="shared" si="588"/>
        <v>R1</v>
      </c>
      <c r="B1905" s="1" t="str">
        <f>"IL01HPT501"</f>
        <v>IL01HPT501</v>
      </c>
      <c r="C1905" s="1" t="str">
        <f>"고혈압의심"</f>
        <v>고혈압의심</v>
      </c>
      <c r="D1905" s="1" t="str">
        <f>"혈압이 높습니다. 정확한 진단 및 치료를 위해 의료기관을 방문하시기 바랍니다."</f>
        <v>혈압이 높습니다. 정확한 진단 및 치료를 위해 의료기관을 방문하시기 바랍니다.</v>
      </c>
      <c r="E1905" s="1" t="str">
        <f>"WOK02"</f>
        <v>WOK02</v>
      </c>
      <c r="F1905" s="1" t="str">
        <f>""</f>
        <v/>
      </c>
      <c r="G1905" s="1" t="str">
        <f>"DISI"</f>
        <v>DISI</v>
      </c>
      <c r="H1905" s="1" t="str">
        <f>"REL03"</f>
        <v>REL03</v>
      </c>
      <c r="I1905" s="1" t="str">
        <f>""</f>
        <v/>
      </c>
      <c r="J1905" s="1" t="str">
        <f>"C03R"</f>
        <v>C03R</v>
      </c>
      <c r="K1905" s="1" t="str">
        <f>"C03R"</f>
        <v>C03R</v>
      </c>
      <c r="L1905" s="1" t="str">
        <f t="shared" si="583"/>
        <v>R</v>
      </c>
      <c r="M1905" s="1" t="str">
        <f>"T03"</f>
        <v>T03</v>
      </c>
      <c r="N1905" s="1" t="str">
        <f t="shared" si="584"/>
        <v>Y</v>
      </c>
      <c r="O1905" s="1" t="str">
        <f t="shared" si="580"/>
        <v>Y</v>
      </c>
      <c r="P1905" s="1" t="str">
        <f t="shared" si="577"/>
        <v>Y</v>
      </c>
      <c r="Q1905" s="1" t="str">
        <f t="shared" si="581"/>
        <v>A</v>
      </c>
    </row>
    <row r="1906" spans="1:17" x14ac:dyDescent="0.3">
      <c r="A1906" s="1" t="str">
        <f t="shared" si="588"/>
        <v>R1</v>
      </c>
      <c r="B1906" s="1" t="str">
        <f>"IL01J0093"</f>
        <v>IL01J0093</v>
      </c>
      <c r="C1906" s="1" t="str">
        <f>"복부비만"</f>
        <v>복부비만</v>
      </c>
      <c r="D1906" s="1" t="s">
        <v>527</v>
      </c>
      <c r="E1906" s="1" t="str">
        <f>"WOK01"</f>
        <v>WOK01</v>
      </c>
      <c r="F1906" s="1" t="str">
        <f>"PTM00"</f>
        <v>PTM00</v>
      </c>
      <c r="G1906" s="1" t="str">
        <f>"DISE"</f>
        <v>DISE</v>
      </c>
      <c r="H1906" s="1" t="str">
        <f>"REL10"</f>
        <v>REL10</v>
      </c>
      <c r="I1906" s="1" t="str">
        <f>""</f>
        <v/>
      </c>
      <c r="J1906" s="1" t="str">
        <f>""</f>
        <v/>
      </c>
      <c r="K1906" s="1" t="str">
        <f>""</f>
        <v/>
      </c>
      <c r="L1906" s="1" t="str">
        <f t="shared" si="583"/>
        <v>R</v>
      </c>
      <c r="M1906" s="1" t="str">
        <f>"T03"</f>
        <v>T03</v>
      </c>
      <c r="N1906" s="1" t="str">
        <f t="shared" si="584"/>
        <v>Y</v>
      </c>
      <c r="O1906" s="1" t="str">
        <f t="shared" si="580"/>
        <v>Y</v>
      </c>
      <c r="P1906" s="1" t="str">
        <f t="shared" si="577"/>
        <v>Y</v>
      </c>
      <c r="Q1906" s="1" t="str">
        <f t="shared" si="581"/>
        <v>A</v>
      </c>
    </row>
    <row r="1907" spans="1:17" x14ac:dyDescent="0.3">
      <c r="A1907" s="1" t="str">
        <f t="shared" si="588"/>
        <v>R1</v>
      </c>
      <c r="B1907" s="1" t="str">
        <f>"J0206"</f>
        <v>J0206</v>
      </c>
      <c r="C1907" s="1" t="str">
        <f>"활동성 폐결핵"</f>
        <v>활동성 폐결핵</v>
      </c>
      <c r="D1907" s="1" t="str">
        <f>"폐결핵으로 판단됩니다. 정확한 진단 및 치료를 위해 호흡기내과 진료를 받으세요."</f>
        <v>폐결핵으로 판단됩니다. 정확한 진단 및 치료를 위해 호흡기내과 진료를 받으세요.</v>
      </c>
      <c r="E1907" s="1" t="str">
        <f>"WOK02"</f>
        <v>WOK02</v>
      </c>
      <c r="F1907" s="1" t="str">
        <f>"PTM04"</f>
        <v>PTM04</v>
      </c>
      <c r="G1907" s="1" t="str">
        <f>"DISJ"</f>
        <v>DISJ</v>
      </c>
      <c r="H1907" s="1" t="str">
        <f>"REL01"</f>
        <v>REL01</v>
      </c>
      <c r="I1907" s="1" t="str">
        <f>""</f>
        <v/>
      </c>
      <c r="J1907" s="1" t="str">
        <f>"C01D"</f>
        <v>C01D</v>
      </c>
      <c r="K1907" s="1" t="str">
        <f>"C01D"</f>
        <v>C01D</v>
      </c>
      <c r="L1907" s="1" t="str">
        <f t="shared" si="583"/>
        <v>R</v>
      </c>
      <c r="M1907" s="1" t="str">
        <f>"T04"</f>
        <v>T04</v>
      </c>
      <c r="N1907" s="1" t="str">
        <f t="shared" si="584"/>
        <v>Y</v>
      </c>
      <c r="O1907" s="1" t="str">
        <f t="shared" si="580"/>
        <v>Y</v>
      </c>
      <c r="P1907" s="1" t="str">
        <f t="shared" si="577"/>
        <v>Y</v>
      </c>
      <c r="Q1907" s="1" t="str">
        <f t="shared" si="581"/>
        <v>A</v>
      </c>
    </row>
    <row r="1908" spans="1:17" x14ac:dyDescent="0.3">
      <c r="A1908" s="1" t="str">
        <f t="shared" si="588"/>
        <v>R1</v>
      </c>
      <c r="B1908" s="1" t="str">
        <f>"J0261"</f>
        <v>J0261</v>
      </c>
      <c r="C1908" s="1" t="str">
        <f>"골밀도 검사상 골다공증 의심"</f>
        <v>골밀도 검사상 골다공증 의심</v>
      </c>
      <c r="D1908" s="1" t="s">
        <v>528</v>
      </c>
      <c r="E1908" s="1" t="str">
        <f>"WOK02"</f>
        <v>WOK02</v>
      </c>
      <c r="F1908" s="1" t="str">
        <f>"PTM01"</f>
        <v>PTM01</v>
      </c>
      <c r="G1908" s="1" t="str">
        <f>"DISM"</f>
        <v>DISM</v>
      </c>
      <c r="H1908" s="1" t="str">
        <f>"REL32"</f>
        <v>REL32</v>
      </c>
      <c r="I1908" s="1" t="str">
        <f>""</f>
        <v/>
      </c>
      <c r="J1908" s="1" t="str">
        <f>"C43R"</f>
        <v>C43R</v>
      </c>
      <c r="K1908" s="1" t="str">
        <f>"C43R"</f>
        <v>C43R</v>
      </c>
      <c r="L1908" s="1" t="str">
        <f t="shared" si="583"/>
        <v>R</v>
      </c>
      <c r="M1908" s="1" t="str">
        <f>"T21"</f>
        <v>T21</v>
      </c>
      <c r="N1908" s="1" t="str">
        <f t="shared" si="584"/>
        <v>Y</v>
      </c>
      <c r="O1908" s="1" t="str">
        <f t="shared" si="580"/>
        <v>Y</v>
      </c>
      <c r="P1908" s="1" t="str">
        <f t="shared" si="577"/>
        <v>Y</v>
      </c>
      <c r="Q1908" s="1" t="str">
        <f t="shared" si="581"/>
        <v>A</v>
      </c>
    </row>
    <row r="1909" spans="1:17" x14ac:dyDescent="0.3">
      <c r="A1909" s="1" t="str">
        <f t="shared" si="588"/>
        <v>R1</v>
      </c>
      <c r="B1909" s="1" t="str">
        <f>"LTS502"</f>
        <v>LTS502</v>
      </c>
      <c r="C1909" s="1" t="s">
        <v>529</v>
      </c>
      <c r="D1909" s="1" t="str">
        <f>"2차 검진시 우울증 평가 및 상담을 받으세요"</f>
        <v>2차 검진시 우울증 평가 및 상담을 받으세요</v>
      </c>
      <c r="E1909" s="1" t="str">
        <f>""</f>
        <v/>
      </c>
      <c r="F1909" s="1" t="str">
        <f>""</f>
        <v/>
      </c>
      <c r="G1909" s="1" t="str">
        <f>"DISF"</f>
        <v>DISF</v>
      </c>
      <c r="H1909" s="1" t="str">
        <f>"REL21"</f>
        <v>REL21</v>
      </c>
      <c r="I1909" s="1" t="str">
        <f>""</f>
        <v/>
      </c>
      <c r="J1909" s="1" t="str">
        <f>"C54R"</f>
        <v>C54R</v>
      </c>
      <c r="K1909" s="1" t="str">
        <f>"C54R"</f>
        <v>C54R</v>
      </c>
      <c r="L1909" s="1" t="str">
        <f>"Q"</f>
        <v>Q</v>
      </c>
      <c r="M1909" s="1" t="str">
        <f>""</f>
        <v/>
      </c>
      <c r="N1909" s="1" t="str">
        <f>"N"</f>
        <v>N</v>
      </c>
      <c r="O1909" s="1" t="str">
        <f t="shared" si="580"/>
        <v>Y</v>
      </c>
      <c r="P1909" s="1" t="str">
        <f t="shared" si="577"/>
        <v>Y</v>
      </c>
      <c r="Q1909" s="1" t="str">
        <f t="shared" si="581"/>
        <v>A</v>
      </c>
    </row>
    <row r="1910" spans="1:17" x14ac:dyDescent="0.3">
      <c r="A1910" s="1" t="str">
        <f t="shared" si="588"/>
        <v>R1</v>
      </c>
      <c r="B1910" s="1" t="str">
        <f>"LTS503"</f>
        <v>LTS503</v>
      </c>
      <c r="C1910" s="1" t="s">
        <v>530</v>
      </c>
      <c r="D1910" s="1" t="str">
        <f>"2차 검진시 해당 검사 받으세요"</f>
        <v>2차 검진시 해당 검사 받으세요</v>
      </c>
      <c r="E1910" s="1" t="str">
        <f>""</f>
        <v/>
      </c>
      <c r="F1910" s="1" t="str">
        <f>""</f>
        <v/>
      </c>
      <c r="G1910" s="1" t="str">
        <f>"DISF"</f>
        <v>DISF</v>
      </c>
      <c r="H1910" s="1" t="str">
        <f>"REL21"</f>
        <v>REL21</v>
      </c>
      <c r="I1910" s="1" t="str">
        <f>""</f>
        <v/>
      </c>
      <c r="J1910" s="1" t="str">
        <f>"C54R"</f>
        <v>C54R</v>
      </c>
      <c r="K1910" s="1" t="str">
        <f>"C54R"</f>
        <v>C54R</v>
      </c>
      <c r="L1910" s="1" t="str">
        <f>"Q"</f>
        <v>Q</v>
      </c>
      <c r="M1910" s="1" t="str">
        <f>""</f>
        <v/>
      </c>
      <c r="N1910" s="1" t="str">
        <f>"N"</f>
        <v>N</v>
      </c>
      <c r="O1910" s="1" t="str">
        <f t="shared" si="580"/>
        <v>Y</v>
      </c>
      <c r="P1910" s="1" t="str">
        <f t="shared" si="577"/>
        <v>Y</v>
      </c>
      <c r="Q1910" s="1" t="str">
        <f t="shared" si="581"/>
        <v>A</v>
      </c>
    </row>
    <row r="1911" spans="1:17" x14ac:dyDescent="0.3">
      <c r="A1911" s="1" t="str">
        <f t="shared" si="588"/>
        <v>R1</v>
      </c>
      <c r="B1911" s="1" t="str">
        <f>"LTS623"</f>
        <v>LTS623</v>
      </c>
      <c r="C1911" s="1" t="str">
        <f>"우울증 의심"</f>
        <v>우울증 의심</v>
      </c>
      <c r="D1911" s="1" t="str">
        <f>"무시하기 힘든 수준의 우울 상태로 우울상태를 극복하기 위한 적극적인 노력이 필요하며 전문가의 도움이 요구될 수 있습니다."</f>
        <v>무시하기 힘든 수준의 우울 상태로 우울상태를 극복하기 위한 적극적인 노력이 필요하며 전문가의 도움이 요구될 수 있습니다.</v>
      </c>
      <c r="E1911" s="1" t="str">
        <f>"WOK02"</f>
        <v>WOK02</v>
      </c>
      <c r="F1911" s="1" t="str">
        <f>"PTM01"</f>
        <v>PTM01</v>
      </c>
      <c r="G1911" s="1" t="str">
        <f>"DISF"</f>
        <v>DISF</v>
      </c>
      <c r="H1911" s="1" t="str">
        <f>"REL21"</f>
        <v>REL21</v>
      </c>
      <c r="I1911" s="1" t="str">
        <f>""</f>
        <v/>
      </c>
      <c r="J1911" s="1" t="str">
        <f>""</f>
        <v/>
      </c>
      <c r="K1911" s="1" t="str">
        <f>""</f>
        <v/>
      </c>
      <c r="L1911" s="1" t="str">
        <f>"Q"</f>
        <v>Q</v>
      </c>
      <c r="M1911" s="1" t="str">
        <f>""</f>
        <v/>
      </c>
      <c r="N1911" s="1" t="str">
        <f>"N"</f>
        <v>N</v>
      </c>
      <c r="O1911" s="1" t="str">
        <f t="shared" si="580"/>
        <v>Y</v>
      </c>
      <c r="P1911" s="1" t="str">
        <f t="shared" si="577"/>
        <v>Y</v>
      </c>
      <c r="Q1911" s="1" t="str">
        <f t="shared" si="581"/>
        <v>A</v>
      </c>
    </row>
    <row r="1912" spans="1:17" x14ac:dyDescent="0.3">
      <c r="A1912" s="1" t="str">
        <f t="shared" si="588"/>
        <v>R1</v>
      </c>
      <c r="B1912" s="1" t="str">
        <f>"LTS642"</f>
        <v>LTS642</v>
      </c>
      <c r="C1912" s="1" t="str">
        <f>"인지기능저하 의심"</f>
        <v>인지기능저하 의심</v>
      </c>
      <c r="D1912" s="1" t="str">
        <f>"인지기능 저하가 의심됩니다. 신경과 진료를 받으시기 바랍니다."</f>
        <v>인지기능 저하가 의심됩니다. 신경과 진료를 받으시기 바랍니다.</v>
      </c>
      <c r="E1912" s="1" t="str">
        <f>""</f>
        <v/>
      </c>
      <c r="F1912" s="1" t="str">
        <f>""</f>
        <v/>
      </c>
      <c r="G1912" s="1" t="str">
        <f>"DISF"</f>
        <v>DISF</v>
      </c>
      <c r="H1912" s="1" t="str">
        <f>"REL28"</f>
        <v>REL28</v>
      </c>
      <c r="I1912" s="1" t="str">
        <f>""</f>
        <v/>
      </c>
      <c r="J1912" s="1" t="str">
        <f>"C36C"</f>
        <v>C36C</v>
      </c>
      <c r="K1912" s="1" t="str">
        <f>"C36C"</f>
        <v>C36C</v>
      </c>
      <c r="L1912" s="1" t="str">
        <f t="shared" ref="L1912:L1975" si="589">"R"</f>
        <v>R</v>
      </c>
      <c r="M1912" s="1" t="str">
        <f>"T06"</f>
        <v>T06</v>
      </c>
      <c r="N1912" s="1" t="str">
        <f t="shared" ref="N1912:N1975" si="590">"Y"</f>
        <v>Y</v>
      </c>
      <c r="O1912" s="1" t="str">
        <f t="shared" si="580"/>
        <v>Y</v>
      </c>
      <c r="P1912" s="1" t="str">
        <f t="shared" si="577"/>
        <v>Y</v>
      </c>
      <c r="Q1912" s="1" t="str">
        <f t="shared" si="581"/>
        <v>A</v>
      </c>
    </row>
    <row r="1913" spans="1:17" x14ac:dyDescent="0.3">
      <c r="A1913" s="1" t="str">
        <f t="shared" si="588"/>
        <v>R1</v>
      </c>
      <c r="B1913" s="1" t="str">
        <f>"LTS694"</f>
        <v>LTS694</v>
      </c>
      <c r="C1913" s="1" t="str">
        <f>"복부비만"</f>
        <v>복부비만</v>
      </c>
      <c r="D1913" s="1" t="str">
        <f>"복부비만으로 인해 각종 심뇌혈관 질환 위험성이 높습니다. 식이조절 및 운동 등으로 자기관리 하시고 필요시 전문상담 받으시기 바랍니다."</f>
        <v>복부비만으로 인해 각종 심뇌혈관 질환 위험성이 높습니다. 식이조절 및 운동 등으로 자기관리 하시고 필요시 전문상담 받으시기 바랍니다.</v>
      </c>
      <c r="E1913" s="1" t="str">
        <f>""</f>
        <v/>
      </c>
      <c r="F1913" s="1" t="str">
        <f>""</f>
        <v/>
      </c>
      <c r="G1913" s="1" t="str">
        <f>"DISE"</f>
        <v>DISE</v>
      </c>
      <c r="H1913" s="1" t="str">
        <f>"REL10"</f>
        <v>REL10</v>
      </c>
      <c r="I1913" s="1" t="str">
        <f>""</f>
        <v/>
      </c>
      <c r="J1913" s="1" t="str">
        <f>"C35R"</f>
        <v>C35R</v>
      </c>
      <c r="K1913" s="1" t="str">
        <f>"C35R"</f>
        <v>C35R</v>
      </c>
      <c r="L1913" s="1" t="str">
        <f t="shared" si="589"/>
        <v>R</v>
      </c>
      <c r="M1913" s="1" t="str">
        <f>""</f>
        <v/>
      </c>
      <c r="N1913" s="1" t="str">
        <f t="shared" si="590"/>
        <v>Y</v>
      </c>
      <c r="O1913" s="1" t="str">
        <f t="shared" si="580"/>
        <v>Y</v>
      </c>
      <c r="P1913" s="1" t="str">
        <f t="shared" si="577"/>
        <v>Y</v>
      </c>
      <c r="Q1913" s="1" t="str">
        <f t="shared" si="581"/>
        <v>A</v>
      </c>
    </row>
    <row r="1914" spans="1:17" x14ac:dyDescent="0.3">
      <c r="A1914" s="1" t="str">
        <f t="shared" si="588"/>
        <v>R1</v>
      </c>
      <c r="B1914" s="1" t="str">
        <f>"M0118"</f>
        <v>M0118</v>
      </c>
      <c r="C1914" s="1" t="str">
        <f>"비결핵성 질환(직접기입)"</f>
        <v>비결핵성 질환(직접기입)</v>
      </c>
      <c r="D1914" s="1" t="str">
        <f>"흉부방사선검사 비결핵성 질환(직접기입)"</f>
        <v>흉부방사선검사 비결핵성 질환(직접기입)</v>
      </c>
      <c r="E1914" s="1" t="str">
        <f>"WOK02"</f>
        <v>WOK02</v>
      </c>
      <c r="F1914" s="1" t="str">
        <f>"PTM01"</f>
        <v>PTM01</v>
      </c>
      <c r="G1914" s="1" t="str">
        <f>"DISJ"</f>
        <v>DISJ</v>
      </c>
      <c r="H1914" s="1" t="str">
        <f>"REL02"</f>
        <v>REL02</v>
      </c>
      <c r="I1914" s="1" t="str">
        <f>""</f>
        <v/>
      </c>
      <c r="J1914" s="1" t="str">
        <f>"C02D"</f>
        <v>C02D</v>
      </c>
      <c r="K1914" s="1" t="str">
        <f>"C02D"</f>
        <v>C02D</v>
      </c>
      <c r="L1914" s="1" t="str">
        <f t="shared" si="589"/>
        <v>R</v>
      </c>
      <c r="M1914" s="1" t="str">
        <f>"T04"</f>
        <v>T04</v>
      </c>
      <c r="N1914" s="1" t="str">
        <f t="shared" si="590"/>
        <v>Y</v>
      </c>
      <c r="O1914" s="1" t="str">
        <f t="shared" si="580"/>
        <v>Y</v>
      </c>
      <c r="P1914" s="1" t="str">
        <f t="shared" si="577"/>
        <v>Y</v>
      </c>
      <c r="Q1914" s="1" t="str">
        <f t="shared" si="581"/>
        <v>A</v>
      </c>
    </row>
    <row r="1915" spans="1:17" x14ac:dyDescent="0.3">
      <c r="A1915" s="1" t="str">
        <f t="shared" si="588"/>
        <v>R1</v>
      </c>
      <c r="B1915" s="1" t="str">
        <f>"M0120"</f>
        <v>M0120</v>
      </c>
      <c r="C1915" s="1" t="str">
        <f>"순환기계 질환(직접기입)"</f>
        <v>순환기계 질환(직접기입)</v>
      </c>
      <c r="D1915" s="1" t="str">
        <f>"흉부방사선결과 순환기계 질환(직접기입)"</f>
        <v>흉부방사선결과 순환기계 질환(직접기입)</v>
      </c>
      <c r="E1915" s="1" t="str">
        <f>"WOK02"</f>
        <v>WOK02</v>
      </c>
      <c r="F1915" s="1" t="str">
        <f>"PTM01"</f>
        <v>PTM01</v>
      </c>
      <c r="G1915" s="1" t="str">
        <f>"DISI"</f>
        <v>DISI</v>
      </c>
      <c r="H1915" s="1" t="str">
        <f>"REL06"</f>
        <v>REL06</v>
      </c>
      <c r="I1915" s="1" t="str">
        <f>""</f>
        <v/>
      </c>
      <c r="J1915" s="1" t="str">
        <f>"C02D"</f>
        <v>C02D</v>
      </c>
      <c r="K1915" s="1" t="str">
        <f>"C02D"</f>
        <v>C02D</v>
      </c>
      <c r="L1915" s="1" t="str">
        <f t="shared" si="589"/>
        <v>R</v>
      </c>
      <c r="M1915" s="1" t="str">
        <f>"T03"</f>
        <v>T03</v>
      </c>
      <c r="N1915" s="1" t="str">
        <f t="shared" si="590"/>
        <v>Y</v>
      </c>
      <c r="O1915" s="1" t="str">
        <f t="shared" si="580"/>
        <v>Y</v>
      </c>
      <c r="P1915" s="1" t="str">
        <f t="shared" si="577"/>
        <v>Y</v>
      </c>
      <c r="Q1915" s="1" t="str">
        <f t="shared" si="581"/>
        <v>A</v>
      </c>
    </row>
    <row r="1916" spans="1:17" x14ac:dyDescent="0.3">
      <c r="A1916" s="1" t="str">
        <f t="shared" si="588"/>
        <v>R1</v>
      </c>
      <c r="B1916" s="1" t="str">
        <f>"NPP302"</f>
        <v>NPP302</v>
      </c>
      <c r="C1916" s="1" t="str">
        <f>"신장질환주의(단백뇨 양성)"</f>
        <v>신장질환주의(단백뇨 양성)</v>
      </c>
      <c r="D1916" s="1" t="s">
        <v>531</v>
      </c>
      <c r="E1916" s="1" t="str">
        <f>""</f>
        <v/>
      </c>
      <c r="F1916" s="1" t="str">
        <f>""</f>
        <v/>
      </c>
      <c r="G1916" s="1" t="str">
        <f>"DISN"</f>
        <v>DISN</v>
      </c>
      <c r="H1916" s="1" t="str">
        <f>"REL08"</f>
        <v>REL08</v>
      </c>
      <c r="I1916" s="1" t="str">
        <f>""</f>
        <v/>
      </c>
      <c r="J1916" s="1" t="str">
        <f>"C07C"</f>
        <v>C07C</v>
      </c>
      <c r="K1916" s="1" t="str">
        <f>"C07C"</f>
        <v>C07C</v>
      </c>
      <c r="L1916" s="1" t="str">
        <f t="shared" si="589"/>
        <v>R</v>
      </c>
      <c r="M1916" s="1" t="str">
        <f>"T05"</f>
        <v>T05</v>
      </c>
      <c r="N1916" s="1" t="str">
        <f t="shared" si="590"/>
        <v>Y</v>
      </c>
      <c r="O1916" s="1" t="str">
        <f t="shared" si="580"/>
        <v>Y</v>
      </c>
      <c r="P1916" s="1" t="str">
        <f t="shared" si="577"/>
        <v>Y</v>
      </c>
      <c r="Q1916" s="1" t="str">
        <f t="shared" si="581"/>
        <v>A</v>
      </c>
    </row>
    <row r="1917" spans="1:17" x14ac:dyDescent="0.3">
      <c r="A1917" s="1" t="str">
        <f t="shared" si="588"/>
        <v>R1</v>
      </c>
      <c r="B1917" s="1" t="str">
        <f>"OSPLT2"</f>
        <v>OSPLT2</v>
      </c>
      <c r="C1917" s="1" t="str">
        <f>"골밀도 검사상 골다공증 의심"</f>
        <v>골밀도 검사상 골다공증 의심</v>
      </c>
      <c r="D1917" s="1" t="str">
        <f>"골밀도에 대한 추적검사 및 의사상담받으세요"</f>
        <v>골밀도에 대한 추적검사 및 의사상담받으세요</v>
      </c>
      <c r="E1917" s="1" t="str">
        <f>""</f>
        <v/>
      </c>
      <c r="F1917" s="1" t="str">
        <f>""</f>
        <v/>
      </c>
      <c r="G1917" s="1" t="str">
        <f>"DISM"</f>
        <v>DISM</v>
      </c>
      <c r="H1917" s="1" t="str">
        <f>"REL32"</f>
        <v>REL32</v>
      </c>
      <c r="I1917" s="1" t="str">
        <f>""</f>
        <v/>
      </c>
      <c r="J1917" s="1" t="str">
        <f>"C43R"</f>
        <v>C43R</v>
      </c>
      <c r="K1917" s="1" t="str">
        <f>"C43R"</f>
        <v>C43R</v>
      </c>
      <c r="L1917" s="1" t="str">
        <f t="shared" si="589"/>
        <v>R</v>
      </c>
      <c r="M1917" s="1" t="str">
        <f>""</f>
        <v/>
      </c>
      <c r="N1917" s="1" t="str">
        <f t="shared" si="590"/>
        <v>Y</v>
      </c>
      <c r="O1917" s="1" t="str">
        <f t="shared" si="580"/>
        <v>Y</v>
      </c>
      <c r="P1917" s="1" t="str">
        <f t="shared" si="577"/>
        <v>Y</v>
      </c>
      <c r="Q1917" s="1" t="str">
        <f t="shared" si="581"/>
        <v>A</v>
      </c>
    </row>
    <row r="1918" spans="1:17" x14ac:dyDescent="0.3">
      <c r="A1918" s="1" t="str">
        <f t="shared" si="588"/>
        <v>R1</v>
      </c>
      <c r="B1918" s="1" t="str">
        <f>"PUL313"</f>
        <v>PUL313</v>
      </c>
      <c r="C1918" s="1" t="str">
        <f>"폐결절 의증"</f>
        <v>폐결절 의증</v>
      </c>
      <c r="D1918" s="1" t="str">
        <f>"흉부촬영상 폐결절이 의심됩니다. 정확한 진단 위해 호흡기내과 진료 하시기 바랍니다."</f>
        <v>흉부촬영상 폐결절이 의심됩니다. 정확한 진단 위해 호흡기내과 진료 하시기 바랍니다.</v>
      </c>
      <c r="E1918" s="1" t="str">
        <f>"WOK02"</f>
        <v>WOK02</v>
      </c>
      <c r="F1918" s="1" t="str">
        <f>"PTM01"</f>
        <v>PTM01</v>
      </c>
      <c r="G1918" s="1" t="str">
        <f>"DISJ"</f>
        <v>DISJ</v>
      </c>
      <c r="H1918" s="1" t="str">
        <f>"REL02"</f>
        <v>REL02</v>
      </c>
      <c r="I1918" s="1" t="str">
        <f>""</f>
        <v/>
      </c>
      <c r="J1918" s="1" t="str">
        <f>"C02D"</f>
        <v>C02D</v>
      </c>
      <c r="K1918" s="1" t="str">
        <f>"C02D"</f>
        <v>C02D</v>
      </c>
      <c r="L1918" s="1" t="str">
        <f t="shared" si="589"/>
        <v>R</v>
      </c>
      <c r="M1918" s="1" t="str">
        <f>"T04"</f>
        <v>T04</v>
      </c>
      <c r="N1918" s="1" t="str">
        <f t="shared" si="590"/>
        <v>Y</v>
      </c>
      <c r="O1918" s="1" t="str">
        <f t="shared" si="580"/>
        <v>Y</v>
      </c>
      <c r="P1918" s="1" t="str">
        <f t="shared" si="577"/>
        <v>Y</v>
      </c>
      <c r="Q1918" s="1" t="str">
        <f t="shared" si="581"/>
        <v>A</v>
      </c>
    </row>
    <row r="1919" spans="1:17" x14ac:dyDescent="0.3">
      <c r="A1919" s="1" t="str">
        <f t="shared" si="588"/>
        <v>R1</v>
      </c>
      <c r="B1919" s="1" t="str">
        <f>"TBC302"</f>
        <v>TBC302</v>
      </c>
      <c r="C1919" s="1" t="str">
        <f>"폐결핵 의증"</f>
        <v>폐결핵 의증</v>
      </c>
      <c r="D1919" s="1" t="str">
        <f>"폐결핵이 의심됩니다. 정밀검사가 필요하니 내과 진료를 받으시기 바랍니다."</f>
        <v>폐결핵이 의심됩니다. 정밀검사가 필요하니 내과 진료를 받으시기 바랍니다.</v>
      </c>
      <c r="E1919" s="1" t="str">
        <f>"WOK02"</f>
        <v>WOK02</v>
      </c>
      <c r="F1919" s="1" t="str">
        <f>"PTM04"</f>
        <v>PTM04</v>
      </c>
      <c r="G1919" s="1" t="str">
        <f>"DISJ"</f>
        <v>DISJ</v>
      </c>
      <c r="H1919" s="1" t="str">
        <f>"REL01"</f>
        <v>REL01</v>
      </c>
      <c r="I1919" s="1" t="str">
        <f>""</f>
        <v/>
      </c>
      <c r="J1919" s="1" t="str">
        <f>"C01C"</f>
        <v>C01C</v>
      </c>
      <c r="K1919" s="1" t="str">
        <f>"C01C"</f>
        <v>C01C</v>
      </c>
      <c r="L1919" s="1" t="str">
        <f t="shared" si="589"/>
        <v>R</v>
      </c>
      <c r="M1919" s="1" t="str">
        <f>"T04"</f>
        <v>T04</v>
      </c>
      <c r="N1919" s="1" t="str">
        <f t="shared" si="590"/>
        <v>Y</v>
      </c>
      <c r="O1919" s="1" t="str">
        <f t="shared" si="580"/>
        <v>Y</v>
      </c>
      <c r="P1919" s="1" t="str">
        <f t="shared" si="577"/>
        <v>Y</v>
      </c>
      <c r="Q1919" s="1" t="str">
        <f t="shared" si="581"/>
        <v>A</v>
      </c>
    </row>
    <row r="1920" spans="1:17" x14ac:dyDescent="0.3">
      <c r="A1920" s="1" t="str">
        <f t="shared" ref="A1920:A1951" si="591">"R2"</f>
        <v>R2</v>
      </c>
      <c r="B1920" s="1" t="str">
        <f>"B103001"</f>
        <v>B103001</v>
      </c>
      <c r="C1920" s="1" t="str">
        <f>"적혈구 침강속도 증가"</f>
        <v>적혈구 침강속도 증가</v>
      </c>
      <c r="D1920" s="1" t="str">
        <f>"혈액검사상 적혈구 침강속도가 증가하였습니다. 적혈구 침강속도는 적혈구가 가라앉는 속도를 말하며 주로 염증성 질환시 증가하지만 일시적으로 증가할 수도 있습니다.  1개월 후에 재검사로 확인하시기 바랍니다."</f>
        <v>혈액검사상 적혈구 침강속도가 증가하였습니다. 적혈구 침강속도는 적혈구가 가라앉는 속도를 말하며 주로 염증성 질환시 증가하지만 일시적으로 증가할 수도 있습니다.  1개월 후에 재검사로 확인하시기 바랍니다.</v>
      </c>
      <c r="E1920" s="1" t="str">
        <f>""</f>
        <v/>
      </c>
      <c r="F1920" s="1" t="str">
        <f>""</f>
        <v/>
      </c>
      <c r="G1920" s="1" t="str">
        <f>""</f>
        <v/>
      </c>
      <c r="H1920" s="1" t="str">
        <f>""</f>
        <v/>
      </c>
      <c r="I1920" s="1" t="str">
        <f>""</f>
        <v/>
      </c>
      <c r="J1920" s="1" t="str">
        <f>""</f>
        <v/>
      </c>
      <c r="K1920" s="1" t="str">
        <f>""</f>
        <v/>
      </c>
      <c r="L1920" s="1" t="str">
        <f t="shared" si="589"/>
        <v>R</v>
      </c>
      <c r="M1920" s="1" t="str">
        <f>""</f>
        <v/>
      </c>
      <c r="N1920" s="1" t="str">
        <f t="shared" si="590"/>
        <v>Y</v>
      </c>
      <c r="O1920" s="1" t="str">
        <f t="shared" si="580"/>
        <v>Y</v>
      </c>
      <c r="P1920" s="1" t="str">
        <f t="shared" si="577"/>
        <v>Y</v>
      </c>
      <c r="Q1920" s="1" t="str">
        <f t="shared" si="581"/>
        <v>A</v>
      </c>
    </row>
    <row r="1921" spans="1:17" x14ac:dyDescent="0.3">
      <c r="A1921" s="1" t="str">
        <f t="shared" si="591"/>
        <v>R2</v>
      </c>
      <c r="B1921" s="1" t="str">
        <f>"B263001"</f>
        <v>B263001</v>
      </c>
      <c r="C1921" s="1" t="str">
        <f>"크레아틴 포스포키나제 상승"</f>
        <v>크레아틴 포스포키나제 상승</v>
      </c>
      <c r="D1921" s="1" t="str">
        <f>"심장 및 근육에 존재하는 크레아티닌 포스포키나제(CPK)가 증가했습니다. 심장질환 및 근육질환에서 증가하나 심한 운동후에도 증가할 수 있습니다. 채혈시 용혈 등에 의해서도 증가될 수 있습니다."</f>
        <v>심장 및 근육에 존재하는 크레아티닌 포스포키나제(CPK)가 증가했습니다. 심장질환 및 근육질환에서 증가하나 심한 운동후에도 증가할 수 있습니다. 채혈시 용혈 등에 의해서도 증가될 수 있습니다.</v>
      </c>
      <c r="E1921" s="1" t="str">
        <f>""</f>
        <v/>
      </c>
      <c r="F1921" s="1" t="str">
        <f>""</f>
        <v/>
      </c>
      <c r="G1921" s="1" t="str">
        <f>""</f>
        <v/>
      </c>
      <c r="H1921" s="1" t="str">
        <f>""</f>
        <v/>
      </c>
      <c r="I1921" s="1" t="str">
        <f>""</f>
        <v/>
      </c>
      <c r="J1921" s="1" t="str">
        <f>""</f>
        <v/>
      </c>
      <c r="K1921" s="1" t="str">
        <f>""</f>
        <v/>
      </c>
      <c r="L1921" s="1" t="str">
        <f t="shared" si="589"/>
        <v>R</v>
      </c>
      <c r="M1921" s="1" t="str">
        <f>""</f>
        <v/>
      </c>
      <c r="N1921" s="1" t="str">
        <f t="shared" si="590"/>
        <v>Y</v>
      </c>
      <c r="O1921" s="1" t="str">
        <f t="shared" si="580"/>
        <v>Y</v>
      </c>
      <c r="P1921" s="1" t="str">
        <f t="shared" si="577"/>
        <v>Y</v>
      </c>
      <c r="Q1921" s="1" t="str">
        <f t="shared" si="581"/>
        <v>A</v>
      </c>
    </row>
    <row r="1922" spans="1:17" x14ac:dyDescent="0.3">
      <c r="A1922" s="1" t="str">
        <f t="shared" si="591"/>
        <v>R2</v>
      </c>
      <c r="B1922" s="1" t="str">
        <f>"C224301"</f>
        <v>C224301</v>
      </c>
      <c r="C1922" s="1" t="str">
        <f>"C반응 단백 양성"</f>
        <v>C반응 단백 양성</v>
      </c>
      <c r="D1922" s="1" t="str">
        <f>"염증지표(C반응 단백)가 양성으로 나왔습니다. 염증지표(C반응 단백)는 주로 염증성 질환시 양성으로 나오지만 일시적 현상으로도 나타날 수 있습니다. 1개월후 재검사하여 확인하시기 바랍니다."</f>
        <v>염증지표(C반응 단백)가 양성으로 나왔습니다. 염증지표(C반응 단백)는 주로 염증성 질환시 양성으로 나오지만 일시적 현상으로도 나타날 수 있습니다. 1개월후 재검사하여 확인하시기 바랍니다.</v>
      </c>
      <c r="E1922" s="1" t="str">
        <f>""</f>
        <v/>
      </c>
      <c r="F1922" s="1" t="str">
        <f>""</f>
        <v/>
      </c>
      <c r="G1922" s="1" t="str">
        <f>""</f>
        <v/>
      </c>
      <c r="H1922" s="1" t="str">
        <f>""</f>
        <v/>
      </c>
      <c r="I1922" s="1" t="str">
        <f>""</f>
        <v/>
      </c>
      <c r="J1922" s="1" t="str">
        <f>""</f>
        <v/>
      </c>
      <c r="K1922" s="1" t="str">
        <f>""</f>
        <v/>
      </c>
      <c r="L1922" s="1" t="str">
        <f t="shared" si="589"/>
        <v>R</v>
      </c>
      <c r="M1922" s="1" t="str">
        <f>""</f>
        <v/>
      </c>
      <c r="N1922" s="1" t="str">
        <f t="shared" si="590"/>
        <v>Y</v>
      </c>
      <c r="O1922" s="1" t="str">
        <f t="shared" si="580"/>
        <v>Y</v>
      </c>
      <c r="P1922" s="1" t="str">
        <f t="shared" si="577"/>
        <v>Y</v>
      </c>
      <c r="Q1922" s="1" t="str">
        <f t="shared" si="581"/>
        <v>A</v>
      </c>
    </row>
    <row r="1923" spans="1:17" x14ac:dyDescent="0.3">
      <c r="A1923" s="1" t="str">
        <f t="shared" si="591"/>
        <v>R2</v>
      </c>
      <c r="B1923" s="1" t="str">
        <f>"C333001"</f>
        <v>C333001</v>
      </c>
      <c r="C1923" s="1" t="str">
        <f>"T4 감소"</f>
        <v>T4 감소</v>
      </c>
      <c r="D1923" s="1" t="str">
        <f>"갑상선기능 검사상 갑상선호르몬(T4)이 감소하여 갑상선의 이상이 의심됩니다. 그러나 일시적인 현상일 가능성도 있으므로 다시 검사를 받으시고 종합적 판단을 받으시기 바랍니다."</f>
        <v>갑상선기능 검사상 갑상선호르몬(T4)이 감소하여 갑상선의 이상이 의심됩니다. 그러나 일시적인 현상일 가능성도 있으므로 다시 검사를 받으시고 종합적 판단을 받으시기 바랍니다.</v>
      </c>
      <c r="E1923" s="1" t="str">
        <f>""</f>
        <v/>
      </c>
      <c r="F1923" s="1" t="str">
        <f>""</f>
        <v/>
      </c>
      <c r="G1923" s="1" t="str">
        <f>""</f>
        <v/>
      </c>
      <c r="H1923" s="1" t="str">
        <f>""</f>
        <v/>
      </c>
      <c r="I1923" s="1" t="str">
        <f>""</f>
        <v/>
      </c>
      <c r="J1923" s="1" t="str">
        <f>""</f>
        <v/>
      </c>
      <c r="K1923" s="1" t="str">
        <f>""</f>
        <v/>
      </c>
      <c r="L1923" s="1" t="str">
        <f t="shared" si="589"/>
        <v>R</v>
      </c>
      <c r="M1923" s="1" t="str">
        <f>""</f>
        <v/>
      </c>
      <c r="N1923" s="1" t="str">
        <f t="shared" si="590"/>
        <v>Y</v>
      </c>
      <c r="O1923" s="1" t="str">
        <f t="shared" si="580"/>
        <v>Y</v>
      </c>
      <c r="P1923" s="1" t="str">
        <f t="shared" si="577"/>
        <v>Y</v>
      </c>
      <c r="Q1923" s="1" t="str">
        <f t="shared" si="581"/>
        <v>A</v>
      </c>
    </row>
    <row r="1924" spans="1:17" x14ac:dyDescent="0.3">
      <c r="A1924" s="1" t="str">
        <f t="shared" si="591"/>
        <v>R2</v>
      </c>
      <c r="B1924" s="1" t="str">
        <f>"C333002"</f>
        <v>C333002</v>
      </c>
      <c r="C1924" s="1" t="str">
        <f>"T4 증가"</f>
        <v>T4 증가</v>
      </c>
      <c r="D1924" s="1" t="str">
        <f>"갑상선기능 검사상 갑상선호르몬(T4)이 증가하여 갑상선의 이상이 의심됩니다. 그러나 일시적인 현상일 가능성도 있으므로 다시 검사를 받으시고 종합적 판단을 받으시기 바랍니다."</f>
        <v>갑상선기능 검사상 갑상선호르몬(T4)이 증가하여 갑상선의 이상이 의심됩니다. 그러나 일시적인 현상일 가능성도 있으므로 다시 검사를 받으시고 종합적 판단을 받으시기 바랍니다.</v>
      </c>
      <c r="E1924" s="1" t="str">
        <f>""</f>
        <v/>
      </c>
      <c r="F1924" s="1" t="str">
        <f>""</f>
        <v/>
      </c>
      <c r="G1924" s="1" t="str">
        <f>""</f>
        <v/>
      </c>
      <c r="H1924" s="1" t="str">
        <f>""</f>
        <v/>
      </c>
      <c r="I1924" s="1" t="str">
        <f>""</f>
        <v/>
      </c>
      <c r="J1924" s="1" t="str">
        <f>""</f>
        <v/>
      </c>
      <c r="K1924" s="1" t="str">
        <f>""</f>
        <v/>
      </c>
      <c r="L1924" s="1" t="str">
        <f t="shared" si="589"/>
        <v>R</v>
      </c>
      <c r="M1924" s="1" t="str">
        <f>""</f>
        <v/>
      </c>
      <c r="N1924" s="1" t="str">
        <f t="shared" si="590"/>
        <v>Y</v>
      </c>
      <c r="O1924" s="1" t="str">
        <f t="shared" si="580"/>
        <v>Y</v>
      </c>
      <c r="P1924" s="1" t="str">
        <f t="shared" si="577"/>
        <v>Y</v>
      </c>
      <c r="Q1924" s="1" t="str">
        <f t="shared" si="581"/>
        <v>A</v>
      </c>
    </row>
    <row r="1925" spans="1:17" x14ac:dyDescent="0.3">
      <c r="A1925" s="1" t="str">
        <f t="shared" si="591"/>
        <v>R2</v>
      </c>
      <c r="B1925" s="1" t="str">
        <f>"C334001"</f>
        <v>C334001</v>
      </c>
      <c r="C1925" s="1" t="str">
        <f>"Free T4 감소"</f>
        <v>Free T4 감소</v>
      </c>
      <c r="D1925" s="1" t="str">
        <f>"갑상선기능 검사상 갑상선호르몬(Free T4)이 감소하여 갑상선의 이상이 의심됩니다. 그러나 일시적인 현상일 가능성도 있으므로 다시 검사를 받으시고 종합적 판단을 받으시기 바랍니다."</f>
        <v>갑상선기능 검사상 갑상선호르몬(Free T4)이 감소하여 갑상선의 이상이 의심됩니다. 그러나 일시적인 현상일 가능성도 있으므로 다시 검사를 받으시고 종합적 판단을 받으시기 바랍니다.</v>
      </c>
      <c r="E1925" s="1" t="str">
        <f>""</f>
        <v/>
      </c>
      <c r="F1925" s="1" t="str">
        <f>""</f>
        <v/>
      </c>
      <c r="G1925" s="1" t="str">
        <f>""</f>
        <v/>
      </c>
      <c r="H1925" s="1" t="str">
        <f>""</f>
        <v/>
      </c>
      <c r="I1925" s="1" t="str">
        <f>""</f>
        <v/>
      </c>
      <c r="J1925" s="1" t="str">
        <f>""</f>
        <v/>
      </c>
      <c r="K1925" s="1" t="str">
        <f>""</f>
        <v/>
      </c>
      <c r="L1925" s="1" t="str">
        <f t="shared" si="589"/>
        <v>R</v>
      </c>
      <c r="M1925" s="1" t="str">
        <f>""</f>
        <v/>
      </c>
      <c r="N1925" s="1" t="str">
        <f t="shared" si="590"/>
        <v>Y</v>
      </c>
      <c r="O1925" s="1" t="str">
        <f t="shared" si="580"/>
        <v>Y</v>
      </c>
      <c r="P1925" s="1" t="str">
        <f t="shared" si="577"/>
        <v>Y</v>
      </c>
      <c r="Q1925" s="1" t="str">
        <f t="shared" si="581"/>
        <v>A</v>
      </c>
    </row>
    <row r="1926" spans="1:17" x14ac:dyDescent="0.3">
      <c r="A1926" s="1" t="str">
        <f t="shared" si="591"/>
        <v>R2</v>
      </c>
      <c r="B1926" s="1" t="str">
        <f>"C334002"</f>
        <v>C334002</v>
      </c>
      <c r="C1926" s="1" t="str">
        <f>"Free T4 증가"</f>
        <v>Free T4 증가</v>
      </c>
      <c r="D1926" s="1" t="str">
        <f>"갑상선기능 검사상 갑상선호르몬(Free T4)이 증가하여 갑상선의 이상이 의심됩니다. 그러나 일시적인 현상일 가능성도 있으므로 다시 검사를 받으시고 종합적 판단을 받으시기 바랍니다."</f>
        <v>갑상선기능 검사상 갑상선호르몬(Free T4)이 증가하여 갑상선의 이상이 의심됩니다. 그러나 일시적인 현상일 가능성도 있으므로 다시 검사를 받으시고 종합적 판단을 받으시기 바랍니다.</v>
      </c>
      <c r="E1926" s="1" t="str">
        <f>""</f>
        <v/>
      </c>
      <c r="F1926" s="1" t="str">
        <f>""</f>
        <v/>
      </c>
      <c r="G1926" s="1" t="str">
        <f>""</f>
        <v/>
      </c>
      <c r="H1926" s="1" t="str">
        <f>""</f>
        <v/>
      </c>
      <c r="I1926" s="1" t="str">
        <f>""</f>
        <v/>
      </c>
      <c r="J1926" s="1" t="str">
        <f>""</f>
        <v/>
      </c>
      <c r="K1926" s="1" t="str">
        <f>""</f>
        <v/>
      </c>
      <c r="L1926" s="1" t="str">
        <f t="shared" si="589"/>
        <v>R</v>
      </c>
      <c r="M1926" s="1" t="str">
        <f>""</f>
        <v/>
      </c>
      <c r="N1926" s="1" t="str">
        <f t="shared" si="590"/>
        <v>Y</v>
      </c>
      <c r="O1926" s="1" t="str">
        <f t="shared" si="580"/>
        <v>Y</v>
      </c>
      <c r="P1926" s="1" t="str">
        <f t="shared" si="577"/>
        <v>Y</v>
      </c>
      <c r="Q1926" s="1" t="str">
        <f t="shared" si="581"/>
        <v>A</v>
      </c>
    </row>
    <row r="1927" spans="1:17" x14ac:dyDescent="0.3">
      <c r="A1927" s="1" t="str">
        <f t="shared" si="591"/>
        <v>R2</v>
      </c>
      <c r="B1927" s="1" t="str">
        <f>"C336001"</f>
        <v>C336001</v>
      </c>
      <c r="C1927" s="1" t="str">
        <f>"TSH 감소"</f>
        <v>TSH 감소</v>
      </c>
      <c r="D1927" s="1" t="str">
        <f>"갑상선기능검사에서 갑상선자극호르몬 수치 감소 소견이 있습니다. 갑상선기능항진증 가능성이 있으므로 추적검사가 필요합니다. 1~2개월 내에 내분비내과 진료를 받으시기 바랍니다."</f>
        <v>갑상선기능검사에서 갑상선자극호르몬 수치 감소 소견이 있습니다. 갑상선기능항진증 가능성이 있으므로 추적검사가 필요합니다. 1~2개월 내에 내분비내과 진료를 받으시기 바랍니다.</v>
      </c>
      <c r="E1927" s="1" t="str">
        <f>""</f>
        <v/>
      </c>
      <c r="F1927" s="1" t="str">
        <f>""</f>
        <v/>
      </c>
      <c r="G1927" s="1" t="str">
        <f>""</f>
        <v/>
      </c>
      <c r="H1927" s="1" t="str">
        <f>""</f>
        <v/>
      </c>
      <c r="I1927" s="1" t="str">
        <f>""</f>
        <v/>
      </c>
      <c r="J1927" s="1" t="str">
        <f>""</f>
        <v/>
      </c>
      <c r="K1927" s="1" t="str">
        <f>""</f>
        <v/>
      </c>
      <c r="L1927" s="1" t="str">
        <f t="shared" si="589"/>
        <v>R</v>
      </c>
      <c r="M1927" s="1" t="str">
        <f>""</f>
        <v/>
      </c>
      <c r="N1927" s="1" t="str">
        <f t="shared" si="590"/>
        <v>Y</v>
      </c>
      <c r="O1927" s="1" t="str">
        <f t="shared" si="580"/>
        <v>Y</v>
      </c>
      <c r="P1927" s="1" t="str">
        <f t="shared" si="577"/>
        <v>Y</v>
      </c>
      <c r="Q1927" s="1" t="str">
        <f t="shared" si="581"/>
        <v>A</v>
      </c>
    </row>
    <row r="1928" spans="1:17" x14ac:dyDescent="0.3">
      <c r="A1928" s="1" t="str">
        <f t="shared" si="591"/>
        <v>R2</v>
      </c>
      <c r="B1928" s="1" t="str">
        <f>"C336002"</f>
        <v>C336002</v>
      </c>
      <c r="C1928" s="1" t="str">
        <f>"TSH 증가"</f>
        <v>TSH 증가</v>
      </c>
      <c r="D1928" s="1" t="str">
        <f>"갑상선기능검사에서 갑상선자극호르몬 수치 증가 소견이 있습니다. 갑상선기능저하증 가능성이 있으므로 추적검사가 필요합니다. 1~2개월 내에 내분비내과 진료를 받으시기 바랍니다."</f>
        <v>갑상선기능검사에서 갑상선자극호르몬 수치 증가 소견이 있습니다. 갑상선기능저하증 가능성이 있으므로 추적검사가 필요합니다. 1~2개월 내에 내분비내과 진료를 받으시기 바랍니다.</v>
      </c>
      <c r="E1928" s="1" t="str">
        <f>""</f>
        <v/>
      </c>
      <c r="F1928" s="1" t="str">
        <f>""</f>
        <v/>
      </c>
      <c r="G1928" s="1" t="str">
        <f>""</f>
        <v/>
      </c>
      <c r="H1928" s="1" t="str">
        <f>""</f>
        <v/>
      </c>
      <c r="I1928" s="1" t="str">
        <f>""</f>
        <v/>
      </c>
      <c r="J1928" s="1" t="str">
        <f>""</f>
        <v/>
      </c>
      <c r="K1928" s="1" t="str">
        <f>""</f>
        <v/>
      </c>
      <c r="L1928" s="1" t="str">
        <f t="shared" si="589"/>
        <v>R</v>
      </c>
      <c r="M1928" s="1" t="str">
        <f>""</f>
        <v/>
      </c>
      <c r="N1928" s="1" t="str">
        <f t="shared" si="590"/>
        <v>Y</v>
      </c>
      <c r="O1928" s="1" t="str">
        <f t="shared" si="580"/>
        <v>Y</v>
      </c>
      <c r="P1928" s="1" t="str">
        <f t="shared" si="577"/>
        <v>Y</v>
      </c>
      <c r="Q1928" s="1" t="str">
        <f t="shared" si="581"/>
        <v>A</v>
      </c>
    </row>
    <row r="1929" spans="1:17" x14ac:dyDescent="0.3">
      <c r="A1929" s="1" t="str">
        <f t="shared" si="591"/>
        <v>R2</v>
      </c>
      <c r="B1929" s="1" t="str">
        <f>"C373001"</f>
        <v>C373001</v>
      </c>
      <c r="C1929" s="1" t="str">
        <f>"혈중 요소질소 상승"</f>
        <v>혈중 요소질소 상승</v>
      </c>
      <c r="D1929" s="1" t="str">
        <f>"혈중 요소질소치가 높게 나타납니다. 신장기능의 이상이 있는 경우 상승할 수 있으나 육식을 많이 하거나 출혈이 있는 경우에도 상승할 수 있으므로 건강 이상을 확인하기 위해서는 1개월이내에 다시 검사할 것을 권합니다."</f>
        <v>혈중 요소질소치가 높게 나타납니다. 신장기능의 이상이 있는 경우 상승할 수 있으나 육식을 많이 하거나 출혈이 있는 경우에도 상승할 수 있으므로 건강 이상을 확인하기 위해서는 1개월이내에 다시 검사할 것을 권합니다.</v>
      </c>
      <c r="E1929" s="1" t="str">
        <f>""</f>
        <v/>
      </c>
      <c r="F1929" s="1" t="str">
        <f>""</f>
        <v/>
      </c>
      <c r="G1929" s="1" t="str">
        <f>""</f>
        <v/>
      </c>
      <c r="H1929" s="1" t="str">
        <f>""</f>
        <v/>
      </c>
      <c r="I1929" s="1" t="str">
        <f>""</f>
        <v/>
      </c>
      <c r="J1929" s="1" t="str">
        <f>""</f>
        <v/>
      </c>
      <c r="K1929" s="1" t="str">
        <f>""</f>
        <v/>
      </c>
      <c r="L1929" s="1" t="str">
        <f t="shared" si="589"/>
        <v>R</v>
      </c>
      <c r="M1929" s="1" t="str">
        <f>""</f>
        <v/>
      </c>
      <c r="N1929" s="1" t="str">
        <f t="shared" si="590"/>
        <v>Y</v>
      </c>
      <c r="O1929" s="1" t="str">
        <f t="shared" si="580"/>
        <v>Y</v>
      </c>
      <c r="P1929" s="1" t="str">
        <f t="shared" si="577"/>
        <v>Y</v>
      </c>
      <c r="Q1929" s="1" t="str">
        <f t="shared" si="581"/>
        <v>A</v>
      </c>
    </row>
    <row r="1930" spans="1:17" x14ac:dyDescent="0.3">
      <c r="A1930" s="1" t="str">
        <f t="shared" si="591"/>
        <v>R2</v>
      </c>
      <c r="B1930" s="1" t="str">
        <f>"C423001"</f>
        <v>C423001</v>
      </c>
      <c r="C1930" s="1" t="str">
        <f>"췌장암 표지자 양성"</f>
        <v>췌장암 표지자 양성</v>
      </c>
      <c r="D1930" s="1" t="s">
        <v>532</v>
      </c>
      <c r="E1930" s="1" t="str">
        <f>""</f>
        <v/>
      </c>
      <c r="F1930" s="1" t="str">
        <f>""</f>
        <v/>
      </c>
      <c r="G1930" s="1" t="str">
        <f>""</f>
        <v/>
      </c>
      <c r="H1930" s="1" t="str">
        <f>""</f>
        <v/>
      </c>
      <c r="I1930" s="1" t="str">
        <f>""</f>
        <v/>
      </c>
      <c r="J1930" s="1" t="str">
        <f>""</f>
        <v/>
      </c>
      <c r="K1930" s="1" t="str">
        <f>""</f>
        <v/>
      </c>
      <c r="L1930" s="1" t="str">
        <f t="shared" si="589"/>
        <v>R</v>
      </c>
      <c r="M1930" s="1" t="str">
        <f>""</f>
        <v/>
      </c>
      <c r="N1930" s="1" t="str">
        <f t="shared" si="590"/>
        <v>Y</v>
      </c>
      <c r="O1930" s="1" t="str">
        <f t="shared" si="580"/>
        <v>Y</v>
      </c>
      <c r="P1930" s="1" t="str">
        <f t="shared" ref="P1930:P1993" si="592">"Y"</f>
        <v>Y</v>
      </c>
      <c r="Q1930" s="1" t="str">
        <f t="shared" si="581"/>
        <v>A</v>
      </c>
    </row>
    <row r="1931" spans="1:17" x14ac:dyDescent="0.3">
      <c r="A1931" s="1" t="str">
        <f t="shared" si="591"/>
        <v>R2</v>
      </c>
      <c r="B1931" s="1" t="str">
        <f>"C425001"</f>
        <v>C425001</v>
      </c>
      <c r="C1931" s="1" t="str">
        <f>"폐암 표지자 양성"</f>
        <v>폐암 표지자 양성</v>
      </c>
      <c r="D1931" s="1" t="s">
        <v>450</v>
      </c>
      <c r="E1931" s="1" t="str">
        <f>""</f>
        <v/>
      </c>
      <c r="F1931" s="1" t="str">
        <f>""</f>
        <v/>
      </c>
      <c r="G1931" s="1" t="str">
        <f>""</f>
        <v/>
      </c>
      <c r="H1931" s="1" t="str">
        <f>""</f>
        <v/>
      </c>
      <c r="I1931" s="1" t="str">
        <f>""</f>
        <v/>
      </c>
      <c r="J1931" s="1" t="str">
        <f>""</f>
        <v/>
      </c>
      <c r="K1931" s="1" t="str">
        <f>""</f>
        <v/>
      </c>
      <c r="L1931" s="1" t="str">
        <f t="shared" si="589"/>
        <v>R</v>
      </c>
      <c r="M1931" s="1" t="str">
        <f>""</f>
        <v/>
      </c>
      <c r="N1931" s="1" t="str">
        <f t="shared" si="590"/>
        <v>Y</v>
      </c>
      <c r="O1931" s="1" t="str">
        <f t="shared" si="580"/>
        <v>Y</v>
      </c>
      <c r="P1931" s="1" t="str">
        <f t="shared" si="592"/>
        <v>Y</v>
      </c>
      <c r="Q1931" s="1" t="str">
        <f t="shared" si="581"/>
        <v>A</v>
      </c>
    </row>
    <row r="1932" spans="1:17" x14ac:dyDescent="0.3">
      <c r="A1932" s="1" t="str">
        <f t="shared" si="591"/>
        <v>R2</v>
      </c>
      <c r="B1932" s="1" t="str">
        <f>"C460001"</f>
        <v>C460001</v>
      </c>
      <c r="C1932" s="1" t="str">
        <f>"매독침강반응 양성"</f>
        <v>매독침강반응 양성</v>
      </c>
      <c r="D1932" s="1" t="str">
        <f>"매독반응검사 결과 양성반응이 나타납니다. 간혹 다른 질병 상태로 인하여 교차양성이 나오는 경우가 있으므로 내원하시어 상담 및 진료를 받아보시기 바랍니다."</f>
        <v>매독반응검사 결과 양성반응이 나타납니다. 간혹 다른 질병 상태로 인하여 교차양성이 나오는 경우가 있으므로 내원하시어 상담 및 진료를 받아보시기 바랍니다.</v>
      </c>
      <c r="E1932" s="1" t="str">
        <f>""</f>
        <v/>
      </c>
      <c r="F1932" s="1" t="str">
        <f>""</f>
        <v/>
      </c>
      <c r="G1932" s="1" t="str">
        <f>""</f>
        <v/>
      </c>
      <c r="H1932" s="1" t="str">
        <f>""</f>
        <v/>
      </c>
      <c r="I1932" s="1" t="str">
        <f>""</f>
        <v/>
      </c>
      <c r="J1932" s="1" t="str">
        <f>""</f>
        <v/>
      </c>
      <c r="K1932" s="1" t="str">
        <f>""</f>
        <v/>
      </c>
      <c r="L1932" s="1" t="str">
        <f t="shared" si="589"/>
        <v>R</v>
      </c>
      <c r="M1932" s="1" t="str">
        <f>""</f>
        <v/>
      </c>
      <c r="N1932" s="1" t="str">
        <f t="shared" si="590"/>
        <v>Y</v>
      </c>
      <c r="O1932" s="1" t="str">
        <f t="shared" si="580"/>
        <v>Y</v>
      </c>
      <c r="P1932" s="1" t="str">
        <f t="shared" si="592"/>
        <v>Y</v>
      </c>
      <c r="Q1932" s="1" t="str">
        <f t="shared" si="581"/>
        <v>A</v>
      </c>
    </row>
    <row r="1933" spans="1:17" x14ac:dyDescent="0.3">
      <c r="A1933" s="1" t="str">
        <f t="shared" si="591"/>
        <v>R2</v>
      </c>
      <c r="B1933" s="1" t="str">
        <f>"C460001H"</f>
        <v>C460001H</v>
      </c>
      <c r="C1933" s="1" t="str">
        <f>"매독침강반응 양성"</f>
        <v>매독침강반응 양성</v>
      </c>
      <c r="D1933" s="1" t="str">
        <f>"매독반응검사 결과 양성반응이 나타납니다. 간혹 다른 질병 상태로 인하여 교차양성이 나오는 경우가 있습니다. 내원하시어 상담 및 진료를 받아보시기 바랍니다."</f>
        <v>매독반응검사 결과 양성반응이 나타납니다. 간혹 다른 질병 상태로 인하여 교차양성이 나오는 경우가 있습니다. 내원하시어 상담 및 진료를 받아보시기 바랍니다.</v>
      </c>
      <c r="E1933" s="1" t="str">
        <f>""</f>
        <v/>
      </c>
      <c r="F1933" s="1" t="str">
        <f>""</f>
        <v/>
      </c>
      <c r="G1933" s="1" t="str">
        <f>""</f>
        <v/>
      </c>
      <c r="H1933" s="1" t="str">
        <f>""</f>
        <v/>
      </c>
      <c r="I1933" s="1" t="str">
        <f>""</f>
        <v/>
      </c>
      <c r="J1933" s="1" t="str">
        <f>""</f>
        <v/>
      </c>
      <c r="K1933" s="1" t="str">
        <f>""</f>
        <v/>
      </c>
      <c r="L1933" s="1" t="str">
        <f t="shared" si="589"/>
        <v>R</v>
      </c>
      <c r="M1933" s="1" t="str">
        <f>""</f>
        <v/>
      </c>
      <c r="N1933" s="1" t="str">
        <f t="shared" si="590"/>
        <v>Y</v>
      </c>
      <c r="O1933" s="1" t="str">
        <f t="shared" si="580"/>
        <v>Y</v>
      </c>
      <c r="P1933" s="1" t="str">
        <f t="shared" si="592"/>
        <v>Y</v>
      </c>
      <c r="Q1933" s="1" t="str">
        <f t="shared" si="581"/>
        <v>A</v>
      </c>
    </row>
    <row r="1934" spans="1:17" x14ac:dyDescent="0.3">
      <c r="A1934" s="1" t="str">
        <f t="shared" si="591"/>
        <v>R2</v>
      </c>
      <c r="B1934" s="1" t="str">
        <f>"C460001HFP"</f>
        <v>C460001HFP</v>
      </c>
      <c r="C1934" s="1" t="str">
        <f>"매독침강반응 위양성"</f>
        <v>매독침강반응 위양성</v>
      </c>
      <c r="D1934" s="1" t="s">
        <v>533</v>
      </c>
      <c r="E1934" s="1" t="str">
        <f>""</f>
        <v/>
      </c>
      <c r="F1934" s="1" t="str">
        <f>""</f>
        <v/>
      </c>
      <c r="G1934" s="1" t="str">
        <f>""</f>
        <v/>
      </c>
      <c r="H1934" s="1" t="str">
        <f>""</f>
        <v/>
      </c>
      <c r="I1934" s="1" t="str">
        <f>""</f>
        <v/>
      </c>
      <c r="J1934" s="1" t="str">
        <f>""</f>
        <v/>
      </c>
      <c r="K1934" s="1" t="str">
        <f>""</f>
        <v/>
      </c>
      <c r="L1934" s="1" t="str">
        <f t="shared" si="589"/>
        <v>R</v>
      </c>
      <c r="M1934" s="1" t="str">
        <f>""</f>
        <v/>
      </c>
      <c r="N1934" s="1" t="str">
        <f t="shared" si="590"/>
        <v>Y</v>
      </c>
      <c r="O1934" s="1" t="str">
        <f t="shared" si="580"/>
        <v>Y</v>
      </c>
      <c r="P1934" s="1" t="str">
        <f t="shared" si="592"/>
        <v>Y</v>
      </c>
      <c r="Q1934" s="1" t="str">
        <f t="shared" si="581"/>
        <v>A</v>
      </c>
    </row>
    <row r="1935" spans="1:17" x14ac:dyDescent="0.3">
      <c r="A1935" s="1" t="str">
        <f t="shared" si="591"/>
        <v>R2</v>
      </c>
      <c r="B1935" s="1" t="str">
        <f>"C471101"</f>
        <v>C471101</v>
      </c>
      <c r="C1935" s="1" t="str">
        <f>"에이즈 의심"</f>
        <v>에이즈 의심</v>
      </c>
      <c r="D1935" s="1" t="str">
        <f>"에이즈검사 결과 1차 검사에서 양성반응이 나타납니다. 이 검사는 에이즈에 감염되지 않은 정상인에서도 양성으로 나올 수 있으므로 감염 여부를 확인하기 위해서는 2차검사가 필요합니다. 내원하셔서 상담받으시기 바랍니다."</f>
        <v>에이즈검사 결과 1차 검사에서 양성반응이 나타납니다. 이 검사는 에이즈에 감염되지 않은 정상인에서도 양성으로 나올 수 있으므로 감염 여부를 확인하기 위해서는 2차검사가 필요합니다. 내원하셔서 상담받으시기 바랍니다.</v>
      </c>
      <c r="E1935" s="1" t="str">
        <f>""</f>
        <v/>
      </c>
      <c r="F1935" s="1" t="str">
        <f>""</f>
        <v/>
      </c>
      <c r="G1935" s="1" t="str">
        <f>""</f>
        <v/>
      </c>
      <c r="H1935" s="1" t="str">
        <f>""</f>
        <v/>
      </c>
      <c r="I1935" s="1" t="str">
        <f>""</f>
        <v/>
      </c>
      <c r="J1935" s="1" t="str">
        <f>""</f>
        <v/>
      </c>
      <c r="K1935" s="1" t="str">
        <f>""</f>
        <v/>
      </c>
      <c r="L1935" s="1" t="str">
        <f t="shared" si="589"/>
        <v>R</v>
      </c>
      <c r="M1935" s="1" t="str">
        <f>""</f>
        <v/>
      </c>
      <c r="N1935" s="1" t="str">
        <f t="shared" si="590"/>
        <v>Y</v>
      </c>
      <c r="O1935" s="1" t="str">
        <f t="shared" si="580"/>
        <v>Y</v>
      </c>
      <c r="P1935" s="1" t="str">
        <f t="shared" si="592"/>
        <v>Y</v>
      </c>
      <c r="Q1935" s="1" t="str">
        <f t="shared" si="581"/>
        <v>A</v>
      </c>
    </row>
    <row r="1936" spans="1:17" x14ac:dyDescent="0.3">
      <c r="A1936" s="1" t="str">
        <f t="shared" si="591"/>
        <v>R2</v>
      </c>
      <c r="B1936" s="1" t="str">
        <f>"GNCHOL02"</f>
        <v>GNCHOL02</v>
      </c>
      <c r="C1936" s="1" t="str">
        <f>"이상지질혈증 의심"</f>
        <v>이상지질혈증 의심</v>
      </c>
      <c r="D1936" s="1" t="str">
        <f>"혈액지질 수치에 대하여 내과 또는 가정의학과 내원하여 정확한 진단 및 치료 바랍니다."</f>
        <v>혈액지질 수치에 대하여 내과 또는 가정의학과 내원하여 정확한 진단 및 치료 바랍니다.</v>
      </c>
      <c r="E1936" s="1" t="str">
        <f t="shared" ref="E1936:E1943" si="593">"WOK02"</f>
        <v>WOK02</v>
      </c>
      <c r="F1936" s="1" t="str">
        <f>"PTM03"</f>
        <v>PTM03</v>
      </c>
      <c r="G1936" s="1" t="str">
        <f t="shared" ref="G1936:G1943" si="594">"DISE"</f>
        <v>DISE</v>
      </c>
      <c r="H1936" s="1" t="str">
        <f t="shared" ref="H1936:H1943" si="595">"REL04"</f>
        <v>REL04</v>
      </c>
      <c r="I1936" s="1" t="str">
        <f>""</f>
        <v/>
      </c>
      <c r="J1936" s="1" t="str">
        <f t="shared" ref="J1936:K1943" si="596">"C04C"</f>
        <v>C04C</v>
      </c>
      <c r="K1936" s="1" t="str">
        <f t="shared" si="596"/>
        <v>C04C</v>
      </c>
      <c r="L1936" s="1" t="str">
        <f t="shared" si="589"/>
        <v>R</v>
      </c>
      <c r="M1936" s="1" t="str">
        <f t="shared" ref="M1936:M1943" si="597">"T03"</f>
        <v>T03</v>
      </c>
      <c r="N1936" s="1" t="str">
        <f t="shared" si="590"/>
        <v>Y</v>
      </c>
      <c r="O1936" s="1" t="str">
        <f t="shared" ref="O1936:O1999" si="598">"Y"</f>
        <v>Y</v>
      </c>
      <c r="P1936" s="1" t="str">
        <f t="shared" si="592"/>
        <v>Y</v>
      </c>
      <c r="Q1936" s="1" t="str">
        <f t="shared" si="581"/>
        <v>A</v>
      </c>
    </row>
    <row r="1937" spans="1:17" x14ac:dyDescent="0.3">
      <c r="A1937" s="1" t="str">
        <f t="shared" si="591"/>
        <v>R2</v>
      </c>
      <c r="B1937" s="1" t="str">
        <f>"GNCHOL05"</f>
        <v>GNCHOL05</v>
      </c>
      <c r="C1937" s="1" t="str">
        <f>"이상지질혈증 주의"</f>
        <v>이상지질혈증 주의</v>
      </c>
      <c r="D1937" s="1" t="s">
        <v>534</v>
      </c>
      <c r="E1937" s="1" t="str">
        <f t="shared" si="593"/>
        <v>WOK02</v>
      </c>
      <c r="F1937" s="1" t="str">
        <f>"PTM04"</f>
        <v>PTM04</v>
      </c>
      <c r="G1937" s="1" t="str">
        <f t="shared" si="594"/>
        <v>DISE</v>
      </c>
      <c r="H1937" s="1" t="str">
        <f t="shared" si="595"/>
        <v>REL04</v>
      </c>
      <c r="I1937" s="1" t="str">
        <f>""</f>
        <v/>
      </c>
      <c r="J1937" s="1" t="str">
        <f t="shared" si="596"/>
        <v>C04C</v>
      </c>
      <c r="K1937" s="1" t="str">
        <f t="shared" si="596"/>
        <v>C04C</v>
      </c>
      <c r="L1937" s="1" t="str">
        <f t="shared" si="589"/>
        <v>R</v>
      </c>
      <c r="M1937" s="1" t="str">
        <f t="shared" si="597"/>
        <v>T03</v>
      </c>
      <c r="N1937" s="1" t="str">
        <f t="shared" si="590"/>
        <v>Y</v>
      </c>
      <c r="O1937" s="1" t="str">
        <f t="shared" si="598"/>
        <v>Y</v>
      </c>
      <c r="P1937" s="1" t="str">
        <f t="shared" si="592"/>
        <v>Y</v>
      </c>
      <c r="Q1937" s="1" t="str">
        <f t="shared" si="581"/>
        <v>A</v>
      </c>
    </row>
    <row r="1938" spans="1:17" x14ac:dyDescent="0.3">
      <c r="A1938" s="1" t="str">
        <f t="shared" si="591"/>
        <v>R2</v>
      </c>
      <c r="B1938" s="1" t="str">
        <f>"GNCHOL10"</f>
        <v>GNCHOL10</v>
      </c>
      <c r="C1938" s="1" t="str">
        <f>"이상지질혈증 의심"</f>
        <v>이상지질혈증 의심</v>
      </c>
      <c r="D1938" s="1" t="str">
        <f>"혈중지질검사에서 총콜레스테롤/ 중성지방/ LDL 콜레스테롤 수치 증가 및 HDL 콜레스테롤 수치 감소 소견이 있습니다. 혈액지질 수치에 대하여 내과 또는 가정의학과 내원하여 정확한 진단 및 치료 바랍니다."</f>
        <v>혈중지질검사에서 총콜레스테롤/ 중성지방/ LDL 콜레스테롤 수치 증가 및 HDL 콜레스테롤 수치 감소 소견이 있습니다. 혈액지질 수치에 대하여 내과 또는 가정의학과 내원하여 정확한 진단 및 치료 바랍니다.</v>
      </c>
      <c r="E1938" s="1" t="str">
        <f t="shared" si="593"/>
        <v>WOK02</v>
      </c>
      <c r="F1938" s="1" t="str">
        <f>"PTM03"</f>
        <v>PTM03</v>
      </c>
      <c r="G1938" s="1" t="str">
        <f t="shared" si="594"/>
        <v>DISE</v>
      </c>
      <c r="H1938" s="1" t="str">
        <f t="shared" si="595"/>
        <v>REL04</v>
      </c>
      <c r="I1938" s="1" t="str">
        <f>""</f>
        <v/>
      </c>
      <c r="J1938" s="1" t="str">
        <f t="shared" si="596"/>
        <v>C04C</v>
      </c>
      <c r="K1938" s="1" t="str">
        <f t="shared" si="596"/>
        <v>C04C</v>
      </c>
      <c r="L1938" s="1" t="str">
        <f t="shared" si="589"/>
        <v>R</v>
      </c>
      <c r="M1938" s="1" t="str">
        <f t="shared" si="597"/>
        <v>T03</v>
      </c>
      <c r="N1938" s="1" t="str">
        <f t="shared" si="590"/>
        <v>Y</v>
      </c>
      <c r="O1938" s="1" t="str">
        <f t="shared" si="598"/>
        <v>Y</v>
      </c>
      <c r="P1938" s="1" t="str">
        <f t="shared" si="592"/>
        <v>Y</v>
      </c>
      <c r="Q1938" s="1" t="str">
        <f t="shared" ref="Q1938:Q2001" si="599">"A"</f>
        <v>A</v>
      </c>
    </row>
    <row r="1939" spans="1:17" x14ac:dyDescent="0.3">
      <c r="A1939" s="1" t="str">
        <f t="shared" si="591"/>
        <v>R2</v>
      </c>
      <c r="B1939" s="1" t="str">
        <f>"GNCHOL91"</f>
        <v>GNCHOL91</v>
      </c>
      <c r="C1939" s="1" t="str">
        <f>"이상지질혈증"</f>
        <v>이상지질혈증</v>
      </c>
      <c r="D1939" s="1" t="str">
        <f>"혈중지질검사에서 총콜레스테롤/ 중성지방/ LDL 콜레스테롤 증가 및 HDL 콜레스테롤 감소 소견이 있습니다. 내분비내과 진료를 받으시기 바랍니다."</f>
        <v>혈중지질검사에서 총콜레스테롤/ 중성지방/ LDL 콜레스테롤 증가 및 HDL 콜레스테롤 감소 소견이 있습니다. 내분비내과 진료를 받으시기 바랍니다.</v>
      </c>
      <c r="E1939" s="1" t="str">
        <f t="shared" si="593"/>
        <v>WOK02</v>
      </c>
      <c r="F1939" s="1" t="str">
        <f>"PTM04"</f>
        <v>PTM04</v>
      </c>
      <c r="G1939" s="1" t="str">
        <f t="shared" si="594"/>
        <v>DISE</v>
      </c>
      <c r="H1939" s="1" t="str">
        <f t="shared" si="595"/>
        <v>REL04</v>
      </c>
      <c r="I1939" s="1" t="str">
        <f>""</f>
        <v/>
      </c>
      <c r="J1939" s="1" t="str">
        <f t="shared" si="596"/>
        <v>C04C</v>
      </c>
      <c r="K1939" s="1" t="str">
        <f t="shared" si="596"/>
        <v>C04C</v>
      </c>
      <c r="L1939" s="1" t="str">
        <f t="shared" si="589"/>
        <v>R</v>
      </c>
      <c r="M1939" s="1" t="str">
        <f t="shared" si="597"/>
        <v>T03</v>
      </c>
      <c r="N1939" s="1" t="str">
        <f t="shared" si="590"/>
        <v>Y</v>
      </c>
      <c r="O1939" s="1" t="str">
        <f t="shared" si="598"/>
        <v>Y</v>
      </c>
      <c r="P1939" s="1" t="str">
        <f t="shared" si="592"/>
        <v>Y</v>
      </c>
      <c r="Q1939" s="1" t="str">
        <f t="shared" si="599"/>
        <v>A</v>
      </c>
    </row>
    <row r="1940" spans="1:17" x14ac:dyDescent="0.3">
      <c r="A1940" s="1" t="str">
        <f t="shared" si="591"/>
        <v>R2</v>
      </c>
      <c r="B1940" s="1" t="str">
        <f>"GNCHOL92"</f>
        <v>GNCHOL92</v>
      </c>
      <c r="C1940" s="1" t="str">
        <f>"이상지질혈증"</f>
        <v>이상지질혈증</v>
      </c>
      <c r="D1940" s="1" t="s">
        <v>535</v>
      </c>
      <c r="E1940" s="1" t="str">
        <f t="shared" si="593"/>
        <v>WOK02</v>
      </c>
      <c r="F1940" s="1" t="str">
        <f>"PTM04"</f>
        <v>PTM04</v>
      </c>
      <c r="G1940" s="1" t="str">
        <f t="shared" si="594"/>
        <v>DISE</v>
      </c>
      <c r="H1940" s="1" t="str">
        <f t="shared" si="595"/>
        <v>REL04</v>
      </c>
      <c r="I1940" s="1" t="str">
        <f>"P0601"</f>
        <v>P0601</v>
      </c>
      <c r="J1940" s="1" t="str">
        <f t="shared" si="596"/>
        <v>C04C</v>
      </c>
      <c r="K1940" s="1" t="str">
        <f t="shared" si="596"/>
        <v>C04C</v>
      </c>
      <c r="L1940" s="1" t="str">
        <f t="shared" si="589"/>
        <v>R</v>
      </c>
      <c r="M1940" s="1" t="str">
        <f t="shared" si="597"/>
        <v>T03</v>
      </c>
      <c r="N1940" s="1" t="str">
        <f t="shared" si="590"/>
        <v>Y</v>
      </c>
      <c r="O1940" s="1" t="str">
        <f t="shared" si="598"/>
        <v>Y</v>
      </c>
      <c r="P1940" s="1" t="str">
        <f t="shared" si="592"/>
        <v>Y</v>
      </c>
      <c r="Q1940" s="1" t="str">
        <f t="shared" si="599"/>
        <v>A</v>
      </c>
    </row>
    <row r="1941" spans="1:17" x14ac:dyDescent="0.3">
      <c r="A1941" s="1" t="str">
        <f t="shared" si="591"/>
        <v>R2</v>
      </c>
      <c r="B1941" s="1" t="str">
        <f>"GNCHOL97"</f>
        <v>GNCHOL97</v>
      </c>
      <c r="C1941" s="1" t="str">
        <f>"이상지질혈증"</f>
        <v>이상지질혈증</v>
      </c>
      <c r="D1941" s="1" t="s">
        <v>536</v>
      </c>
      <c r="E1941" s="1" t="str">
        <f t="shared" si="593"/>
        <v>WOK02</v>
      </c>
      <c r="F1941" s="1" t="str">
        <f>"PTM04"</f>
        <v>PTM04</v>
      </c>
      <c r="G1941" s="1" t="str">
        <f t="shared" si="594"/>
        <v>DISE</v>
      </c>
      <c r="H1941" s="1" t="str">
        <f t="shared" si="595"/>
        <v>REL04</v>
      </c>
      <c r="I1941" s="1" t="str">
        <f>""</f>
        <v/>
      </c>
      <c r="J1941" s="1" t="str">
        <f t="shared" si="596"/>
        <v>C04C</v>
      </c>
      <c r="K1941" s="1" t="str">
        <f t="shared" si="596"/>
        <v>C04C</v>
      </c>
      <c r="L1941" s="1" t="str">
        <f t="shared" si="589"/>
        <v>R</v>
      </c>
      <c r="M1941" s="1" t="str">
        <f t="shared" si="597"/>
        <v>T03</v>
      </c>
      <c r="N1941" s="1" t="str">
        <f t="shared" si="590"/>
        <v>Y</v>
      </c>
      <c r="O1941" s="1" t="str">
        <f t="shared" si="598"/>
        <v>Y</v>
      </c>
      <c r="P1941" s="1" t="str">
        <f t="shared" si="592"/>
        <v>Y</v>
      </c>
      <c r="Q1941" s="1" t="str">
        <f t="shared" si="599"/>
        <v>A</v>
      </c>
    </row>
    <row r="1942" spans="1:17" x14ac:dyDescent="0.3">
      <c r="A1942" s="1" t="str">
        <f t="shared" si="591"/>
        <v>R2</v>
      </c>
      <c r="B1942" s="1" t="str">
        <f>"GNCHOL98"</f>
        <v>GNCHOL98</v>
      </c>
      <c r="C1942" s="1" t="str">
        <f>"이상지질혈증"</f>
        <v>이상지질혈증</v>
      </c>
      <c r="D1942" s="1" t="s">
        <v>537</v>
      </c>
      <c r="E1942" s="1" t="str">
        <f t="shared" si="593"/>
        <v>WOK02</v>
      </c>
      <c r="F1942" s="1" t="str">
        <f>"PTM04"</f>
        <v>PTM04</v>
      </c>
      <c r="G1942" s="1" t="str">
        <f t="shared" si="594"/>
        <v>DISE</v>
      </c>
      <c r="H1942" s="1" t="str">
        <f t="shared" si="595"/>
        <v>REL04</v>
      </c>
      <c r="I1942" s="1" t="str">
        <f>""</f>
        <v/>
      </c>
      <c r="J1942" s="1" t="str">
        <f t="shared" si="596"/>
        <v>C04C</v>
      </c>
      <c r="K1942" s="1" t="str">
        <f t="shared" si="596"/>
        <v>C04C</v>
      </c>
      <c r="L1942" s="1" t="str">
        <f t="shared" si="589"/>
        <v>R</v>
      </c>
      <c r="M1942" s="1" t="str">
        <f t="shared" si="597"/>
        <v>T03</v>
      </c>
      <c r="N1942" s="1" t="str">
        <f t="shared" si="590"/>
        <v>Y</v>
      </c>
      <c r="O1942" s="1" t="str">
        <f t="shared" si="598"/>
        <v>Y</v>
      </c>
      <c r="P1942" s="1" t="str">
        <f t="shared" si="592"/>
        <v>Y</v>
      </c>
      <c r="Q1942" s="1" t="str">
        <f t="shared" si="599"/>
        <v>A</v>
      </c>
    </row>
    <row r="1943" spans="1:17" x14ac:dyDescent="0.3">
      <c r="A1943" s="1" t="str">
        <f t="shared" si="591"/>
        <v>R2</v>
      </c>
      <c r="B1943" s="1" t="str">
        <f>"GNCHOL99"</f>
        <v>GNCHOL99</v>
      </c>
      <c r="C1943" s="1" t="str">
        <f>"이상지질혈증"</f>
        <v>이상지질혈증</v>
      </c>
      <c r="D1943" s="1" t="s">
        <v>538</v>
      </c>
      <c r="E1943" s="1" t="str">
        <f t="shared" si="593"/>
        <v>WOK02</v>
      </c>
      <c r="F1943" s="1" t="str">
        <f>"PTM04"</f>
        <v>PTM04</v>
      </c>
      <c r="G1943" s="1" t="str">
        <f t="shared" si="594"/>
        <v>DISE</v>
      </c>
      <c r="H1943" s="1" t="str">
        <f t="shared" si="595"/>
        <v>REL04</v>
      </c>
      <c r="I1943" s="1" t="str">
        <f>""</f>
        <v/>
      </c>
      <c r="J1943" s="1" t="str">
        <f t="shared" si="596"/>
        <v>C04C</v>
      </c>
      <c r="K1943" s="1" t="str">
        <f t="shared" si="596"/>
        <v>C04C</v>
      </c>
      <c r="L1943" s="1" t="str">
        <f t="shared" si="589"/>
        <v>R</v>
      </c>
      <c r="M1943" s="1" t="str">
        <f t="shared" si="597"/>
        <v>T03</v>
      </c>
      <c r="N1943" s="1" t="str">
        <f t="shared" si="590"/>
        <v>Y</v>
      </c>
      <c r="O1943" s="1" t="str">
        <f t="shared" si="598"/>
        <v>Y</v>
      </c>
      <c r="P1943" s="1" t="str">
        <f t="shared" si="592"/>
        <v>Y</v>
      </c>
      <c r="Q1943" s="1" t="str">
        <f t="shared" si="599"/>
        <v>A</v>
      </c>
    </row>
    <row r="1944" spans="1:17" x14ac:dyDescent="0.3">
      <c r="A1944" s="1" t="str">
        <f t="shared" si="591"/>
        <v>R2</v>
      </c>
      <c r="B1944" s="1" t="str">
        <f>"GNDM973"</f>
        <v>GNDM973</v>
      </c>
      <c r="C1944" s="1" t="str">
        <f>"당뇨병"</f>
        <v>당뇨병</v>
      </c>
      <c r="D1944" s="1" t="str">
        <f>"당화혈색소가 높게 측정되었습니다. 정확한 진단 및 치료를 위해 내분비내과 진료를 받으시기 바랍니다."</f>
        <v>당화혈색소가 높게 측정되었습니다. 정확한 진단 및 치료를 위해 내분비내과 진료를 받으시기 바랍니다.</v>
      </c>
      <c r="E1944" s="1" t="str">
        <f>""</f>
        <v/>
      </c>
      <c r="F1944" s="1" t="str">
        <f>""</f>
        <v/>
      </c>
      <c r="G1944" s="1" t="str">
        <f>""</f>
        <v/>
      </c>
      <c r="H1944" s="1" t="str">
        <f>"REL07"</f>
        <v>REL07</v>
      </c>
      <c r="I1944" s="1" t="str">
        <f>""</f>
        <v/>
      </c>
      <c r="J1944" s="1" t="str">
        <f>""</f>
        <v/>
      </c>
      <c r="K1944" s="1" t="str">
        <f>""</f>
        <v/>
      </c>
      <c r="L1944" s="1" t="str">
        <f t="shared" si="589"/>
        <v>R</v>
      </c>
      <c r="M1944" s="1" t="str">
        <f>"T211"</f>
        <v>T211</v>
      </c>
      <c r="N1944" s="1" t="str">
        <f t="shared" si="590"/>
        <v>Y</v>
      </c>
      <c r="O1944" s="1" t="str">
        <f t="shared" si="598"/>
        <v>Y</v>
      </c>
      <c r="P1944" s="1" t="str">
        <f t="shared" si="592"/>
        <v>Y</v>
      </c>
      <c r="Q1944" s="1" t="str">
        <f t="shared" si="599"/>
        <v>A</v>
      </c>
    </row>
    <row r="1945" spans="1:17" x14ac:dyDescent="0.3">
      <c r="A1945" s="1" t="str">
        <f t="shared" si="591"/>
        <v>R2</v>
      </c>
      <c r="B1945" s="1" t="str">
        <f>"GNTFT971"</f>
        <v>GNTFT971</v>
      </c>
      <c r="C1945" s="1" t="str">
        <f>"갑상선기능저하증 의증"</f>
        <v>갑상선기능저하증 의증</v>
      </c>
      <c r="D1945" s="1" t="str">
        <f>"갑상선기능저하증 소견이 의심됩니다. 정확한 진단 및 추적검사를 위해 내분비내과 진료를 받으시기 바랍니다."</f>
        <v>갑상선기능저하증 소견이 의심됩니다. 정확한 진단 및 추적검사를 위해 내분비내과 진료를 받으시기 바랍니다.</v>
      </c>
      <c r="E1945" s="1" t="str">
        <f>""</f>
        <v/>
      </c>
      <c r="F1945" s="1" t="str">
        <f>""</f>
        <v/>
      </c>
      <c r="G1945" s="1" t="str">
        <f>""</f>
        <v/>
      </c>
      <c r="H1945" s="1" t="str">
        <f>""</f>
        <v/>
      </c>
      <c r="I1945" s="1" t="str">
        <f>""</f>
        <v/>
      </c>
      <c r="J1945" s="1" t="str">
        <f>""</f>
        <v/>
      </c>
      <c r="K1945" s="1" t="str">
        <f>""</f>
        <v/>
      </c>
      <c r="L1945" s="1" t="str">
        <f t="shared" si="589"/>
        <v>R</v>
      </c>
      <c r="M1945" s="1" t="str">
        <f>""</f>
        <v/>
      </c>
      <c r="N1945" s="1" t="str">
        <f t="shared" si="590"/>
        <v>Y</v>
      </c>
      <c r="O1945" s="1" t="str">
        <f t="shared" si="598"/>
        <v>Y</v>
      </c>
      <c r="P1945" s="1" t="str">
        <f t="shared" si="592"/>
        <v>Y</v>
      </c>
      <c r="Q1945" s="1" t="str">
        <f t="shared" si="599"/>
        <v>A</v>
      </c>
    </row>
    <row r="1946" spans="1:17" x14ac:dyDescent="0.3">
      <c r="A1946" s="1" t="str">
        <f t="shared" si="591"/>
        <v>R2</v>
      </c>
      <c r="B1946" s="1" t="str">
        <f>"GNTFT972"</f>
        <v>GNTFT972</v>
      </c>
      <c r="C1946" s="1" t="str">
        <f>"갑상선기능항진증 의증"</f>
        <v>갑상선기능항진증 의증</v>
      </c>
      <c r="D1946" s="1" t="str">
        <f>"갑상선기능항진증 소견이 의심됩니다. 정확한 진단 및 추적검사를 위해 내분비내과 진료를 받으시기 바랍니다."</f>
        <v>갑상선기능항진증 소견이 의심됩니다. 정확한 진단 및 추적검사를 위해 내분비내과 진료를 받으시기 바랍니다.</v>
      </c>
      <c r="E1946" s="1" t="str">
        <f>""</f>
        <v/>
      </c>
      <c r="F1946" s="1" t="str">
        <f>""</f>
        <v/>
      </c>
      <c r="G1946" s="1" t="str">
        <f>""</f>
        <v/>
      </c>
      <c r="H1946" s="1" t="str">
        <f>""</f>
        <v/>
      </c>
      <c r="I1946" s="1" t="str">
        <f>""</f>
        <v/>
      </c>
      <c r="J1946" s="1" t="str">
        <f>""</f>
        <v/>
      </c>
      <c r="K1946" s="1" t="str">
        <f>""</f>
        <v/>
      </c>
      <c r="L1946" s="1" t="str">
        <f t="shared" si="589"/>
        <v>R</v>
      </c>
      <c r="M1946" s="1" t="str">
        <f>""</f>
        <v/>
      </c>
      <c r="N1946" s="1" t="str">
        <f t="shared" si="590"/>
        <v>Y</v>
      </c>
      <c r="O1946" s="1" t="str">
        <f t="shared" si="598"/>
        <v>Y</v>
      </c>
      <c r="P1946" s="1" t="str">
        <f t="shared" si="592"/>
        <v>Y</v>
      </c>
      <c r="Q1946" s="1" t="str">
        <f t="shared" si="599"/>
        <v>A</v>
      </c>
    </row>
    <row r="1947" spans="1:17" x14ac:dyDescent="0.3">
      <c r="A1947" s="1" t="str">
        <f t="shared" si="591"/>
        <v>R2</v>
      </c>
      <c r="B1947" s="1" t="str">
        <f>"HPT501"</f>
        <v>HPT501</v>
      </c>
      <c r="C1947" s="1" t="str">
        <f>"고혈압의심"</f>
        <v>고혈압의심</v>
      </c>
      <c r="D1947" s="1" t="str">
        <f>"이번 검진 시 측정된 혈압이 상승되어 고혈압이 의심됩니다. 고혈압에 대한 2차 검진받으세요."</f>
        <v>이번 검진 시 측정된 혈압이 상승되어 고혈압이 의심됩니다. 고혈압에 대한 2차 검진받으세요.</v>
      </c>
      <c r="E1947" s="1" t="str">
        <f>""</f>
        <v/>
      </c>
      <c r="F1947" s="1" t="str">
        <f>""</f>
        <v/>
      </c>
      <c r="G1947" s="1" t="str">
        <f>"DISI"</f>
        <v>DISI</v>
      </c>
      <c r="H1947" s="1" t="str">
        <f>"REL03"</f>
        <v>REL03</v>
      </c>
      <c r="I1947" s="1" t="str">
        <f>""</f>
        <v/>
      </c>
      <c r="J1947" s="1" t="str">
        <f>"C03R"</f>
        <v>C03R</v>
      </c>
      <c r="K1947" s="1" t="str">
        <f>"C03R"</f>
        <v>C03R</v>
      </c>
      <c r="L1947" s="1" t="str">
        <f t="shared" si="589"/>
        <v>R</v>
      </c>
      <c r="M1947" s="1" t="str">
        <f>"T03"</f>
        <v>T03</v>
      </c>
      <c r="N1947" s="1" t="str">
        <f t="shared" si="590"/>
        <v>Y</v>
      </c>
      <c r="O1947" s="1" t="str">
        <f t="shared" si="598"/>
        <v>Y</v>
      </c>
      <c r="P1947" s="1" t="str">
        <f t="shared" si="592"/>
        <v>Y</v>
      </c>
      <c r="Q1947" s="1" t="str">
        <f t="shared" si="599"/>
        <v>A</v>
      </c>
    </row>
    <row r="1948" spans="1:17" x14ac:dyDescent="0.3">
      <c r="A1948" s="1" t="str">
        <f t="shared" si="591"/>
        <v>R2</v>
      </c>
      <c r="B1948" s="1" t="str">
        <f>"L002601"</f>
        <v>L002601</v>
      </c>
      <c r="C1948" s="1" t="str">
        <f>"폐암 표지자 양성"</f>
        <v>폐암 표지자 양성</v>
      </c>
      <c r="D1948" s="1" t="s">
        <v>450</v>
      </c>
      <c r="E1948" s="1" t="str">
        <f>""</f>
        <v/>
      </c>
      <c r="F1948" s="1" t="str">
        <f>""</f>
        <v/>
      </c>
      <c r="G1948" s="1" t="str">
        <f>""</f>
        <v/>
      </c>
      <c r="H1948" s="1" t="str">
        <f>""</f>
        <v/>
      </c>
      <c r="I1948" s="1" t="str">
        <f>""</f>
        <v/>
      </c>
      <c r="J1948" s="1" t="str">
        <f>""</f>
        <v/>
      </c>
      <c r="K1948" s="1" t="str">
        <f>""</f>
        <v/>
      </c>
      <c r="L1948" s="1" t="str">
        <f t="shared" si="589"/>
        <v>R</v>
      </c>
      <c r="M1948" s="1" t="str">
        <f>""</f>
        <v/>
      </c>
      <c r="N1948" s="1" t="str">
        <f t="shared" si="590"/>
        <v>Y</v>
      </c>
      <c r="O1948" s="1" t="str">
        <f t="shared" si="598"/>
        <v>Y</v>
      </c>
      <c r="P1948" s="1" t="str">
        <f t="shared" si="592"/>
        <v>Y</v>
      </c>
      <c r="Q1948" s="1" t="str">
        <f t="shared" si="599"/>
        <v>A</v>
      </c>
    </row>
    <row r="1949" spans="1:17" x14ac:dyDescent="0.3">
      <c r="A1949" s="1" t="str">
        <f t="shared" si="591"/>
        <v>R2</v>
      </c>
      <c r="B1949" s="1" t="str">
        <f>"L020101"</f>
        <v>L020101</v>
      </c>
      <c r="C1949" s="1" t="str">
        <f>"T3 감소"</f>
        <v>T3 감소</v>
      </c>
      <c r="D1949" s="1" t="str">
        <f>"갑상선기능 검사상 갑상선호르몬(T3)이 감소하여 갑상선의 이상이 의심됩니다. 그러나 일시적인 현상일 가능성도 있으므로 다시 검사를 받으시고 종합적 판단을 받으시기 바랍니다."</f>
        <v>갑상선기능 검사상 갑상선호르몬(T3)이 감소하여 갑상선의 이상이 의심됩니다. 그러나 일시적인 현상일 가능성도 있으므로 다시 검사를 받으시고 종합적 판단을 받으시기 바랍니다.</v>
      </c>
      <c r="E1949" s="1" t="str">
        <f>""</f>
        <v/>
      </c>
      <c r="F1949" s="1" t="str">
        <f>""</f>
        <v/>
      </c>
      <c r="G1949" s="1" t="str">
        <f>""</f>
        <v/>
      </c>
      <c r="H1949" s="1" t="str">
        <f>""</f>
        <v/>
      </c>
      <c r="I1949" s="1" t="str">
        <f>""</f>
        <v/>
      </c>
      <c r="J1949" s="1" t="str">
        <f>""</f>
        <v/>
      </c>
      <c r="K1949" s="1" t="str">
        <f>""</f>
        <v/>
      </c>
      <c r="L1949" s="1" t="str">
        <f t="shared" si="589"/>
        <v>R</v>
      </c>
      <c r="M1949" s="1" t="str">
        <f>""</f>
        <v/>
      </c>
      <c r="N1949" s="1" t="str">
        <f t="shared" si="590"/>
        <v>Y</v>
      </c>
      <c r="O1949" s="1" t="str">
        <f t="shared" si="598"/>
        <v>Y</v>
      </c>
      <c r="P1949" s="1" t="str">
        <f t="shared" si="592"/>
        <v>Y</v>
      </c>
      <c r="Q1949" s="1" t="str">
        <f t="shared" si="599"/>
        <v>A</v>
      </c>
    </row>
    <row r="1950" spans="1:17" x14ac:dyDescent="0.3">
      <c r="A1950" s="1" t="str">
        <f t="shared" si="591"/>
        <v>R2</v>
      </c>
      <c r="B1950" s="1" t="str">
        <f>"L020102"</f>
        <v>L020102</v>
      </c>
      <c r="C1950" s="1" t="str">
        <f>"T3 증가"</f>
        <v>T3 증가</v>
      </c>
      <c r="D1950" s="1" t="str">
        <f>"갑상선기능 검사상 갑상선호르몬(T3)이 증가하여 갑상선의 이상이 의심됩니다. 그러나 일시적인 현상일 가능성도 있으므로 다시 검사를 받으시고 종합적 판단을 받으시기 바랍니다."</f>
        <v>갑상선기능 검사상 갑상선호르몬(T3)이 증가하여 갑상선의 이상이 의심됩니다. 그러나 일시적인 현상일 가능성도 있으므로 다시 검사를 받으시고 종합적 판단을 받으시기 바랍니다.</v>
      </c>
      <c r="E1950" s="1" t="str">
        <f>""</f>
        <v/>
      </c>
      <c r="F1950" s="1" t="str">
        <f>""</f>
        <v/>
      </c>
      <c r="G1950" s="1" t="str">
        <f>""</f>
        <v/>
      </c>
      <c r="H1950" s="1" t="str">
        <f>""</f>
        <v/>
      </c>
      <c r="I1950" s="1" t="str">
        <f>""</f>
        <v/>
      </c>
      <c r="J1950" s="1" t="str">
        <f>""</f>
        <v/>
      </c>
      <c r="K1950" s="1" t="str">
        <f>""</f>
        <v/>
      </c>
      <c r="L1950" s="1" t="str">
        <f t="shared" si="589"/>
        <v>R</v>
      </c>
      <c r="M1950" s="1" t="str">
        <f>""</f>
        <v/>
      </c>
      <c r="N1950" s="1" t="str">
        <f t="shared" si="590"/>
        <v>Y</v>
      </c>
      <c r="O1950" s="1" t="str">
        <f t="shared" si="598"/>
        <v>Y</v>
      </c>
      <c r="P1950" s="1" t="str">
        <f t="shared" si="592"/>
        <v>Y</v>
      </c>
      <c r="Q1950" s="1" t="str">
        <f t="shared" si="599"/>
        <v>A</v>
      </c>
    </row>
    <row r="1951" spans="1:17" x14ac:dyDescent="0.3">
      <c r="A1951" s="1" t="str">
        <f t="shared" si="591"/>
        <v>R2</v>
      </c>
      <c r="B1951" s="1" t="str">
        <f>"L056001"</f>
        <v>L056001</v>
      </c>
      <c r="C1951" s="1" t="str">
        <f>"혈중 마그네슘 감소"</f>
        <v>혈중 마그네슘 감소</v>
      </c>
      <c r="D1951" s="1" t="str">
        <f>"혈액내 마그네슘 성분이 감소되어 있습니다. 마그네슘은 뼈건강 및 효소활성에 관계되는 성분입니다. 마그네슘 부족은 일시적인 현상일 수 있으나 이상증상이 있을 경우 내원하여 상담하시기 바랍니다."</f>
        <v>혈액내 마그네슘 성분이 감소되어 있습니다. 마그네슘은 뼈건강 및 효소활성에 관계되는 성분입니다. 마그네슘 부족은 일시적인 현상일 수 있으나 이상증상이 있을 경우 내원하여 상담하시기 바랍니다.</v>
      </c>
      <c r="E1951" s="1" t="str">
        <f>""</f>
        <v/>
      </c>
      <c r="F1951" s="1" t="str">
        <f>""</f>
        <v/>
      </c>
      <c r="G1951" s="1" t="str">
        <f>""</f>
        <v/>
      </c>
      <c r="H1951" s="1" t="str">
        <f>""</f>
        <v/>
      </c>
      <c r="I1951" s="1" t="str">
        <f>""</f>
        <v/>
      </c>
      <c r="J1951" s="1" t="str">
        <f>""</f>
        <v/>
      </c>
      <c r="K1951" s="1" t="str">
        <f>""</f>
        <v/>
      </c>
      <c r="L1951" s="1" t="str">
        <f t="shared" si="589"/>
        <v>R</v>
      </c>
      <c r="M1951" s="1" t="str">
        <f>""</f>
        <v/>
      </c>
      <c r="N1951" s="1" t="str">
        <f t="shared" si="590"/>
        <v>Y</v>
      </c>
      <c r="O1951" s="1" t="str">
        <f t="shared" si="598"/>
        <v>Y</v>
      </c>
      <c r="P1951" s="1" t="str">
        <f t="shared" si="592"/>
        <v>Y</v>
      </c>
      <c r="Q1951" s="1" t="str">
        <f t="shared" si="599"/>
        <v>A</v>
      </c>
    </row>
    <row r="1952" spans="1:17" x14ac:dyDescent="0.3">
      <c r="A1952" s="1" t="str">
        <f t="shared" ref="A1952:A1983" si="600">"R2"</f>
        <v>R2</v>
      </c>
      <c r="B1952" s="1" t="str">
        <f>"L056002"</f>
        <v>L056002</v>
      </c>
      <c r="C1952" s="1" t="str">
        <f>"혈중 마그네슘 증가"</f>
        <v>혈중 마그네슘 증가</v>
      </c>
      <c r="D1952" s="1" t="str">
        <f>"혈액내 마그네슘 성분이 증가되어 있습니다. 일시적인 현상일 수 있으나 이상 증상이 있을 경우 내원하여 상담하시기 바랍니다."</f>
        <v>혈액내 마그네슘 성분이 증가되어 있습니다. 일시적인 현상일 수 있으나 이상 증상이 있을 경우 내원하여 상담하시기 바랍니다.</v>
      </c>
      <c r="E1952" s="1" t="str">
        <f>""</f>
        <v/>
      </c>
      <c r="F1952" s="1" t="str">
        <f>""</f>
        <v/>
      </c>
      <c r="G1952" s="1" t="str">
        <f>""</f>
        <v/>
      </c>
      <c r="H1952" s="1" t="str">
        <f>""</f>
        <v/>
      </c>
      <c r="I1952" s="1" t="str">
        <f>""</f>
        <v/>
      </c>
      <c r="J1952" s="1" t="str">
        <f>""</f>
        <v/>
      </c>
      <c r="K1952" s="1" t="str">
        <f>""</f>
        <v/>
      </c>
      <c r="L1952" s="1" t="str">
        <f t="shared" si="589"/>
        <v>R</v>
      </c>
      <c r="M1952" s="1" t="str">
        <f>""</f>
        <v/>
      </c>
      <c r="N1952" s="1" t="str">
        <f t="shared" si="590"/>
        <v>Y</v>
      </c>
      <c r="O1952" s="1" t="str">
        <f t="shared" si="598"/>
        <v>Y</v>
      </c>
      <c r="P1952" s="1" t="str">
        <f t="shared" si="592"/>
        <v>Y</v>
      </c>
      <c r="Q1952" s="1" t="str">
        <f t="shared" si="599"/>
        <v>A</v>
      </c>
    </row>
    <row r="1953" spans="1:17" x14ac:dyDescent="0.3">
      <c r="A1953" s="1" t="str">
        <f t="shared" si="600"/>
        <v>R2</v>
      </c>
      <c r="B1953" s="1" t="str">
        <f>"L105002"</f>
        <v>L105002</v>
      </c>
      <c r="C1953" s="1" t="str">
        <f>"백혈구 증가"</f>
        <v>백혈구 증가</v>
      </c>
      <c r="D1953" s="1" t="str">
        <f>"혈액검사에서 백혈구수가 증가하였습니다. 원인규명이 필요하니 내과(혈액내과) 또는 내원하여 상담하시기 바랍니다."</f>
        <v>혈액검사에서 백혈구수가 증가하였습니다. 원인규명이 필요하니 내과(혈액내과) 또는 내원하여 상담하시기 바랍니다.</v>
      </c>
      <c r="E1953" s="1" t="str">
        <f>""</f>
        <v/>
      </c>
      <c r="F1953" s="1" t="str">
        <f>""</f>
        <v/>
      </c>
      <c r="G1953" s="1" t="str">
        <f>""</f>
        <v/>
      </c>
      <c r="H1953" s="1" t="str">
        <f>""</f>
        <v/>
      </c>
      <c r="I1953" s="1" t="str">
        <f>""</f>
        <v/>
      </c>
      <c r="J1953" s="1" t="str">
        <f>""</f>
        <v/>
      </c>
      <c r="K1953" s="1" t="str">
        <f>""</f>
        <v/>
      </c>
      <c r="L1953" s="1" t="str">
        <f t="shared" si="589"/>
        <v>R</v>
      </c>
      <c r="M1953" s="1" t="str">
        <f>""</f>
        <v/>
      </c>
      <c r="N1953" s="1" t="str">
        <f t="shared" si="590"/>
        <v>Y</v>
      </c>
      <c r="O1953" s="1" t="str">
        <f t="shared" si="598"/>
        <v>Y</v>
      </c>
      <c r="P1953" s="1" t="str">
        <f t="shared" si="592"/>
        <v>Y</v>
      </c>
      <c r="Q1953" s="1" t="str">
        <f t="shared" si="599"/>
        <v>A</v>
      </c>
    </row>
    <row r="1954" spans="1:17" x14ac:dyDescent="0.3">
      <c r="A1954" s="1" t="str">
        <f t="shared" si="600"/>
        <v>R2</v>
      </c>
      <c r="B1954" s="1" t="str">
        <f>"L105003"</f>
        <v>L105003</v>
      </c>
      <c r="C1954" s="1" t="str">
        <f>"경미한 백혈구 감소"</f>
        <v>경미한 백혈구 감소</v>
      </c>
      <c r="D1954" s="1" t="str">
        <f>"혈액검사에서 백혈구수가 감소하였습니다. 일시적으로 감소될 수 있습니다. 이상증상이 있다면 내과진료를 받으시기 바랍니다."</f>
        <v>혈액검사에서 백혈구수가 감소하였습니다. 일시적으로 감소될 수 있습니다. 이상증상이 있다면 내과진료를 받으시기 바랍니다.</v>
      </c>
      <c r="E1954" s="1" t="str">
        <f>""</f>
        <v/>
      </c>
      <c r="F1954" s="1" t="str">
        <f>""</f>
        <v/>
      </c>
      <c r="G1954" s="1" t="str">
        <f>""</f>
        <v/>
      </c>
      <c r="H1954" s="1" t="str">
        <f>""</f>
        <v/>
      </c>
      <c r="I1954" s="1" t="str">
        <f>""</f>
        <v/>
      </c>
      <c r="J1954" s="1" t="str">
        <f>""</f>
        <v/>
      </c>
      <c r="K1954" s="1" t="str">
        <f>""</f>
        <v/>
      </c>
      <c r="L1954" s="1" t="str">
        <f t="shared" si="589"/>
        <v>R</v>
      </c>
      <c r="M1954" s="1" t="str">
        <f>""</f>
        <v/>
      </c>
      <c r="N1954" s="1" t="str">
        <f t="shared" si="590"/>
        <v>Y</v>
      </c>
      <c r="O1954" s="1" t="str">
        <f t="shared" si="598"/>
        <v>Y</v>
      </c>
      <c r="P1954" s="1" t="str">
        <f t="shared" si="592"/>
        <v>Y</v>
      </c>
      <c r="Q1954" s="1" t="str">
        <f t="shared" si="599"/>
        <v>A</v>
      </c>
    </row>
    <row r="1955" spans="1:17" x14ac:dyDescent="0.3">
      <c r="A1955" s="1" t="str">
        <f t="shared" si="600"/>
        <v>R2</v>
      </c>
      <c r="B1955" s="1" t="str">
        <f>"L105004"</f>
        <v>L105004</v>
      </c>
      <c r="C1955" s="1" t="str">
        <f>"백혈구 감소"</f>
        <v>백혈구 감소</v>
      </c>
      <c r="D1955" s="1" t="str">
        <f>"혈액검사결과 백혈구수가 감소하여 조혈기능의 이상을 의심케합니다. 내원하셔서 상담하시기 바랍니다."</f>
        <v>혈액검사결과 백혈구수가 감소하여 조혈기능의 이상을 의심케합니다. 내원하셔서 상담하시기 바랍니다.</v>
      </c>
      <c r="E1955" s="1" t="str">
        <f>""</f>
        <v/>
      </c>
      <c r="F1955" s="1" t="str">
        <f>""</f>
        <v/>
      </c>
      <c r="G1955" s="1" t="str">
        <f>""</f>
        <v/>
      </c>
      <c r="H1955" s="1" t="str">
        <f>""</f>
        <v/>
      </c>
      <c r="I1955" s="1" t="str">
        <f>""</f>
        <v/>
      </c>
      <c r="J1955" s="1" t="str">
        <f>""</f>
        <v/>
      </c>
      <c r="K1955" s="1" t="str">
        <f>""</f>
        <v/>
      </c>
      <c r="L1955" s="1" t="str">
        <f t="shared" si="589"/>
        <v>R</v>
      </c>
      <c r="M1955" s="1" t="str">
        <f>""</f>
        <v/>
      </c>
      <c r="N1955" s="1" t="str">
        <f t="shared" si="590"/>
        <v>Y</v>
      </c>
      <c r="O1955" s="1" t="str">
        <f t="shared" si="598"/>
        <v>Y</v>
      </c>
      <c r="P1955" s="1" t="str">
        <f t="shared" si="592"/>
        <v>Y</v>
      </c>
      <c r="Q1955" s="1" t="str">
        <f t="shared" si="599"/>
        <v>A</v>
      </c>
    </row>
    <row r="1956" spans="1:17" x14ac:dyDescent="0.3">
      <c r="A1956" s="1" t="str">
        <f t="shared" si="600"/>
        <v>R2</v>
      </c>
      <c r="B1956" s="1" t="str">
        <f>"L106001"</f>
        <v>L106001</v>
      </c>
      <c r="C1956" s="1" t="str">
        <f>"혈소판 증가"</f>
        <v>혈소판 증가</v>
      </c>
      <c r="D1956" s="1" t="str">
        <f>"혈액검사에서 혈소판수가 증가하였습니다. 혈액질환이 있을 경우 증가할 수 있으나 탈수에 따른 혈액농축이나 기타 일시적인 현상에 의해 증가하는 경우도 있습니다."</f>
        <v>혈액검사에서 혈소판수가 증가하였습니다. 혈액질환이 있을 경우 증가할 수 있으나 탈수에 따른 혈액농축이나 기타 일시적인 현상에 의해 증가하는 경우도 있습니다.</v>
      </c>
      <c r="E1956" s="1" t="str">
        <f>""</f>
        <v/>
      </c>
      <c r="F1956" s="1" t="str">
        <f>""</f>
        <v/>
      </c>
      <c r="G1956" s="1" t="str">
        <f>""</f>
        <v/>
      </c>
      <c r="H1956" s="1" t="str">
        <f>""</f>
        <v/>
      </c>
      <c r="I1956" s="1" t="str">
        <f>""</f>
        <v/>
      </c>
      <c r="J1956" s="1" t="str">
        <f>""</f>
        <v/>
      </c>
      <c r="K1956" s="1" t="str">
        <f>""</f>
        <v/>
      </c>
      <c r="L1956" s="1" t="str">
        <f t="shared" si="589"/>
        <v>R</v>
      </c>
      <c r="M1956" s="1" t="str">
        <f>""</f>
        <v/>
      </c>
      <c r="N1956" s="1" t="str">
        <f t="shared" si="590"/>
        <v>Y</v>
      </c>
      <c r="O1956" s="1" t="str">
        <f t="shared" si="598"/>
        <v>Y</v>
      </c>
      <c r="P1956" s="1" t="str">
        <f t="shared" si="592"/>
        <v>Y</v>
      </c>
      <c r="Q1956" s="1" t="str">
        <f t="shared" si="599"/>
        <v>A</v>
      </c>
    </row>
    <row r="1957" spans="1:17" x14ac:dyDescent="0.3">
      <c r="A1957" s="1" t="str">
        <f t="shared" si="600"/>
        <v>R2</v>
      </c>
      <c r="B1957" s="1" t="str">
        <f>"L106002"</f>
        <v>L106002</v>
      </c>
      <c r="C1957" s="1" t="str">
        <f>"혈소판 증가"</f>
        <v>혈소판 증가</v>
      </c>
      <c r="D1957" s="1" t="str">
        <f>"혈액검사에서 혈소판수가 증가하였습니다. 원인규명을 위해 내원하여 상담하시기 바랍니다."</f>
        <v>혈액검사에서 혈소판수가 증가하였습니다. 원인규명을 위해 내원하여 상담하시기 바랍니다.</v>
      </c>
      <c r="E1957" s="1" t="str">
        <f>""</f>
        <v/>
      </c>
      <c r="F1957" s="1" t="str">
        <f>""</f>
        <v/>
      </c>
      <c r="G1957" s="1" t="str">
        <f>""</f>
        <v/>
      </c>
      <c r="H1957" s="1" t="str">
        <f>""</f>
        <v/>
      </c>
      <c r="I1957" s="1" t="str">
        <f>""</f>
        <v/>
      </c>
      <c r="J1957" s="1" t="str">
        <f>""</f>
        <v/>
      </c>
      <c r="K1957" s="1" t="str">
        <f>""</f>
        <v/>
      </c>
      <c r="L1957" s="1" t="str">
        <f t="shared" si="589"/>
        <v>R</v>
      </c>
      <c r="M1957" s="1" t="str">
        <f>""</f>
        <v/>
      </c>
      <c r="N1957" s="1" t="str">
        <f t="shared" si="590"/>
        <v>Y</v>
      </c>
      <c r="O1957" s="1" t="str">
        <f t="shared" si="598"/>
        <v>Y</v>
      </c>
      <c r="P1957" s="1" t="str">
        <f t="shared" si="592"/>
        <v>Y</v>
      </c>
      <c r="Q1957" s="1" t="str">
        <f t="shared" si="599"/>
        <v>A</v>
      </c>
    </row>
    <row r="1958" spans="1:17" x14ac:dyDescent="0.3">
      <c r="A1958" s="1" t="str">
        <f t="shared" si="600"/>
        <v>R2</v>
      </c>
      <c r="B1958" s="1" t="str">
        <f>"L106003"</f>
        <v>L106003</v>
      </c>
      <c r="C1958" s="1" t="str">
        <f>"혈소판 감소"</f>
        <v>혈소판 감소</v>
      </c>
      <c r="D1958" s="1" t="str">
        <f>"혈액검사에서 혈소판수가 감소하였습니다. 혈액질환이 있을 경우 감소할 수 있으나 일시적인 현상에 의해 나타나는 경우도 있습니다. 경과 관찰을 권고합니다."</f>
        <v>혈액검사에서 혈소판수가 감소하였습니다. 혈액질환이 있을 경우 감소할 수 있으나 일시적인 현상에 의해 나타나는 경우도 있습니다. 경과 관찰을 권고합니다.</v>
      </c>
      <c r="E1958" s="1" t="str">
        <f>""</f>
        <v/>
      </c>
      <c r="F1958" s="1" t="str">
        <f>""</f>
        <v/>
      </c>
      <c r="G1958" s="1" t="str">
        <f>""</f>
        <v/>
      </c>
      <c r="H1958" s="1" t="str">
        <f>""</f>
        <v/>
      </c>
      <c r="I1958" s="1" t="str">
        <f>""</f>
        <v/>
      </c>
      <c r="J1958" s="1" t="str">
        <f>""</f>
        <v/>
      </c>
      <c r="K1958" s="1" t="str">
        <f>""</f>
        <v/>
      </c>
      <c r="L1958" s="1" t="str">
        <f t="shared" si="589"/>
        <v>R</v>
      </c>
      <c r="M1958" s="1" t="str">
        <f>""</f>
        <v/>
      </c>
      <c r="N1958" s="1" t="str">
        <f t="shared" si="590"/>
        <v>Y</v>
      </c>
      <c r="O1958" s="1" t="str">
        <f t="shared" si="598"/>
        <v>Y</v>
      </c>
      <c r="P1958" s="1" t="str">
        <f t="shared" si="592"/>
        <v>Y</v>
      </c>
      <c r="Q1958" s="1" t="str">
        <f t="shared" si="599"/>
        <v>A</v>
      </c>
    </row>
    <row r="1959" spans="1:17" x14ac:dyDescent="0.3">
      <c r="A1959" s="1" t="str">
        <f t="shared" si="600"/>
        <v>R2</v>
      </c>
      <c r="B1959" s="1" t="str">
        <f>"L106004"</f>
        <v>L106004</v>
      </c>
      <c r="C1959" s="1" t="str">
        <f>"혈소판 감소"</f>
        <v>혈소판 감소</v>
      </c>
      <c r="D1959" s="1" t="str">
        <f>"혈액검사에서 혈소판수가 감소하여 조혈기능의 이상을 의심케합니다. 내원하셔서 상담하시기 바랍니다."</f>
        <v>혈액검사에서 혈소판수가 감소하여 조혈기능의 이상을 의심케합니다. 내원하셔서 상담하시기 바랍니다.</v>
      </c>
      <c r="E1959" s="1" t="str">
        <f>""</f>
        <v/>
      </c>
      <c r="F1959" s="1" t="str">
        <f>""</f>
        <v/>
      </c>
      <c r="G1959" s="1" t="str">
        <f>""</f>
        <v/>
      </c>
      <c r="H1959" s="1" t="str">
        <f>""</f>
        <v/>
      </c>
      <c r="I1959" s="1" t="str">
        <f>""</f>
        <v/>
      </c>
      <c r="J1959" s="1" t="str">
        <f>""</f>
        <v/>
      </c>
      <c r="K1959" s="1" t="str">
        <f>""</f>
        <v/>
      </c>
      <c r="L1959" s="1" t="str">
        <f t="shared" si="589"/>
        <v>R</v>
      </c>
      <c r="M1959" s="1" t="str">
        <f>""</f>
        <v/>
      </c>
      <c r="N1959" s="1" t="str">
        <f t="shared" si="590"/>
        <v>Y</v>
      </c>
      <c r="O1959" s="1" t="str">
        <f t="shared" si="598"/>
        <v>Y</v>
      </c>
      <c r="P1959" s="1" t="str">
        <f t="shared" si="592"/>
        <v>Y</v>
      </c>
      <c r="Q1959" s="1" t="str">
        <f t="shared" si="599"/>
        <v>A</v>
      </c>
    </row>
    <row r="1960" spans="1:17" x14ac:dyDescent="0.3">
      <c r="A1960" s="1" t="str">
        <f t="shared" si="600"/>
        <v>R2</v>
      </c>
      <c r="B1960" s="1" t="str">
        <f>"L130401"</f>
        <v>L130401</v>
      </c>
      <c r="C1960" s="1" t="str">
        <f>"(소변검사) 백혈구검출"</f>
        <v>(소변검사) 백혈구검출</v>
      </c>
      <c r="D1960" s="1" t="s">
        <v>539</v>
      </c>
      <c r="E1960" s="1" t="str">
        <f>""</f>
        <v/>
      </c>
      <c r="F1960" s="1" t="str">
        <f>""</f>
        <v/>
      </c>
      <c r="G1960" s="1" t="str">
        <f>"DISN"</f>
        <v>DISN</v>
      </c>
      <c r="H1960" s="1" t="str">
        <f>"REL09"</f>
        <v>REL09</v>
      </c>
      <c r="I1960" s="1" t="str">
        <f>""</f>
        <v/>
      </c>
      <c r="J1960" s="1" t="str">
        <f>"C44C"</f>
        <v>C44C</v>
      </c>
      <c r="K1960" s="1" t="str">
        <f>"C44C"</f>
        <v>C44C</v>
      </c>
      <c r="L1960" s="1" t="str">
        <f t="shared" si="589"/>
        <v>R</v>
      </c>
      <c r="M1960" s="1" t="str">
        <f>"T05"</f>
        <v>T05</v>
      </c>
      <c r="N1960" s="1" t="str">
        <f t="shared" si="590"/>
        <v>Y</v>
      </c>
      <c r="O1960" s="1" t="str">
        <f t="shared" si="598"/>
        <v>Y</v>
      </c>
      <c r="P1960" s="1" t="str">
        <f t="shared" si="592"/>
        <v>Y</v>
      </c>
      <c r="Q1960" s="1" t="str">
        <f t="shared" si="599"/>
        <v>A</v>
      </c>
    </row>
    <row r="1961" spans="1:17" x14ac:dyDescent="0.3">
      <c r="A1961" s="1" t="str">
        <f t="shared" si="600"/>
        <v>R2</v>
      </c>
      <c r="B1961" s="1" t="str">
        <f>"L130701"</f>
        <v>L130701</v>
      </c>
      <c r="C1961" s="1" t="str">
        <f>"뇨중 케톤 검출"</f>
        <v>뇨중 케톤 검출</v>
      </c>
      <c r="D1961" s="1" t="str">
        <f>"소변에서 케톤 성분이 검출됩니다. 소변의 케톤성분은 당뇨병이 있을 경우 나올 수 있으나 금식을 한 후나 단백질을 많이 섭취한 경우에도 나올 수 있습니다. 가까운 시일내에 소변 검사를 다시 받아보시기 바랍니다."</f>
        <v>소변에서 케톤 성분이 검출됩니다. 소변의 케톤성분은 당뇨병이 있을 경우 나올 수 있으나 금식을 한 후나 단백질을 많이 섭취한 경우에도 나올 수 있습니다. 가까운 시일내에 소변 검사를 다시 받아보시기 바랍니다.</v>
      </c>
      <c r="E1961" s="1" t="str">
        <f>""</f>
        <v/>
      </c>
      <c r="F1961" s="1" t="str">
        <f>""</f>
        <v/>
      </c>
      <c r="G1961" s="1" t="str">
        <f>""</f>
        <v/>
      </c>
      <c r="H1961" s="1" t="str">
        <f>""</f>
        <v/>
      </c>
      <c r="I1961" s="1" t="str">
        <f>""</f>
        <v/>
      </c>
      <c r="J1961" s="1" t="str">
        <f>""</f>
        <v/>
      </c>
      <c r="K1961" s="1" t="str">
        <f>""</f>
        <v/>
      </c>
      <c r="L1961" s="1" t="str">
        <f t="shared" si="589"/>
        <v>R</v>
      </c>
      <c r="M1961" s="1" t="str">
        <f>""</f>
        <v/>
      </c>
      <c r="N1961" s="1" t="str">
        <f t="shared" si="590"/>
        <v>Y</v>
      </c>
      <c r="O1961" s="1" t="str">
        <f t="shared" si="598"/>
        <v>Y</v>
      </c>
      <c r="P1961" s="1" t="str">
        <f t="shared" si="592"/>
        <v>Y</v>
      </c>
      <c r="Q1961" s="1" t="str">
        <f t="shared" si="599"/>
        <v>A</v>
      </c>
    </row>
    <row r="1962" spans="1:17" x14ac:dyDescent="0.3">
      <c r="A1962" s="1" t="str">
        <f t="shared" si="600"/>
        <v>R2</v>
      </c>
      <c r="B1962" s="1" t="str">
        <f>"L130801"</f>
        <v>L130801</v>
      </c>
      <c r="C1962" s="1" t="str">
        <f>"뇨중 유로비리노젠 검출"</f>
        <v>뇨중 유로비리노젠 검출</v>
      </c>
      <c r="D1962" s="1" t="str">
        <f>"소변에서 유로비리노젠 성분이 검출됩니다. 간장질환이 있을 경우 나올 수 있으나 다른 검사에서 이상이 없는 상태에서 검출되는 것은 큰 의미가 없습니다. 가까운 시일내에 소변 검사를 다시 받아보시기 바랍니다."</f>
        <v>소변에서 유로비리노젠 성분이 검출됩니다. 간장질환이 있을 경우 나올 수 있으나 다른 검사에서 이상이 없는 상태에서 검출되는 것은 큰 의미가 없습니다. 가까운 시일내에 소변 검사를 다시 받아보시기 바랍니다.</v>
      </c>
      <c r="E1962" s="1" t="str">
        <f>""</f>
        <v/>
      </c>
      <c r="F1962" s="1" t="str">
        <f>""</f>
        <v/>
      </c>
      <c r="G1962" s="1" t="str">
        <f>""</f>
        <v/>
      </c>
      <c r="H1962" s="1" t="str">
        <f>""</f>
        <v/>
      </c>
      <c r="I1962" s="1" t="str">
        <f>""</f>
        <v/>
      </c>
      <c r="J1962" s="1" t="str">
        <f>""</f>
        <v/>
      </c>
      <c r="K1962" s="1" t="str">
        <f>""</f>
        <v/>
      </c>
      <c r="L1962" s="1" t="str">
        <f t="shared" si="589"/>
        <v>R</v>
      </c>
      <c r="M1962" s="1" t="str">
        <f>""</f>
        <v/>
      </c>
      <c r="N1962" s="1" t="str">
        <f t="shared" si="590"/>
        <v>Y</v>
      </c>
      <c r="O1962" s="1" t="str">
        <f t="shared" si="598"/>
        <v>Y</v>
      </c>
      <c r="P1962" s="1" t="str">
        <f t="shared" si="592"/>
        <v>Y</v>
      </c>
      <c r="Q1962" s="1" t="str">
        <f t="shared" si="599"/>
        <v>A</v>
      </c>
    </row>
    <row r="1963" spans="1:17" x14ac:dyDescent="0.3">
      <c r="A1963" s="1" t="str">
        <f t="shared" si="600"/>
        <v>R2</v>
      </c>
      <c r="B1963" s="1" t="str">
        <f>"L130901"</f>
        <v>L130901</v>
      </c>
      <c r="C1963" s="1" t="str">
        <f>"뇨중 빌리루빈 검출"</f>
        <v>뇨중 빌리루빈 검출</v>
      </c>
      <c r="D1963" s="1" t="str">
        <f>"소변에서 빌리루빈 성분이 검출됩니다. 간장질환이 있을 경우 나올 수 있으나 다른 검사에서 이상이 없는 상태에서 검출되는 것은 큰 의미가 없습니다. 가까운 시일내에 소변 검사를 다시 받아보시기 바랍니다."</f>
        <v>소변에서 빌리루빈 성분이 검출됩니다. 간장질환이 있을 경우 나올 수 있으나 다른 검사에서 이상이 없는 상태에서 검출되는 것은 큰 의미가 없습니다. 가까운 시일내에 소변 검사를 다시 받아보시기 바랍니다.</v>
      </c>
      <c r="E1963" s="1" t="str">
        <f>""</f>
        <v/>
      </c>
      <c r="F1963" s="1" t="str">
        <f>""</f>
        <v/>
      </c>
      <c r="G1963" s="1" t="str">
        <f>""</f>
        <v/>
      </c>
      <c r="H1963" s="1" t="str">
        <f>""</f>
        <v/>
      </c>
      <c r="I1963" s="1" t="str">
        <f>""</f>
        <v/>
      </c>
      <c r="J1963" s="1" t="str">
        <f>""</f>
        <v/>
      </c>
      <c r="K1963" s="1" t="str">
        <f>""</f>
        <v/>
      </c>
      <c r="L1963" s="1" t="str">
        <f t="shared" si="589"/>
        <v>R</v>
      </c>
      <c r="M1963" s="1" t="str">
        <f>""</f>
        <v/>
      </c>
      <c r="N1963" s="1" t="str">
        <f t="shared" si="590"/>
        <v>Y</v>
      </c>
      <c r="O1963" s="1" t="str">
        <f t="shared" si="598"/>
        <v>Y</v>
      </c>
      <c r="P1963" s="1" t="str">
        <f t="shared" si="592"/>
        <v>Y</v>
      </c>
      <c r="Q1963" s="1" t="str">
        <f t="shared" si="599"/>
        <v>A</v>
      </c>
    </row>
    <row r="1964" spans="1:17" x14ac:dyDescent="0.3">
      <c r="A1964" s="1" t="str">
        <f t="shared" si="600"/>
        <v>R2</v>
      </c>
      <c r="B1964" s="1" t="str">
        <f>"L131001"</f>
        <v>L131001</v>
      </c>
      <c r="C1964" s="1" t="str">
        <f>"혈뇨검출"</f>
        <v>혈뇨검출</v>
      </c>
      <c r="D1964" s="1" t="s">
        <v>540</v>
      </c>
      <c r="E1964" s="1" t="str">
        <f>""</f>
        <v/>
      </c>
      <c r="F1964" s="1" t="str">
        <f>""</f>
        <v/>
      </c>
      <c r="G1964" s="1" t="str">
        <f>""</f>
        <v/>
      </c>
      <c r="H1964" s="1" t="str">
        <f>""</f>
        <v/>
      </c>
      <c r="I1964" s="1" t="str">
        <f>""</f>
        <v/>
      </c>
      <c r="J1964" s="1" t="str">
        <f>""</f>
        <v/>
      </c>
      <c r="K1964" s="1" t="str">
        <f>""</f>
        <v/>
      </c>
      <c r="L1964" s="1" t="str">
        <f t="shared" si="589"/>
        <v>R</v>
      </c>
      <c r="M1964" s="1" t="str">
        <f>""</f>
        <v/>
      </c>
      <c r="N1964" s="1" t="str">
        <f t="shared" si="590"/>
        <v>Y</v>
      </c>
      <c r="O1964" s="1" t="str">
        <f t="shared" si="598"/>
        <v>Y</v>
      </c>
      <c r="P1964" s="1" t="str">
        <f t="shared" si="592"/>
        <v>Y</v>
      </c>
      <c r="Q1964" s="1" t="str">
        <f t="shared" si="599"/>
        <v>A</v>
      </c>
    </row>
    <row r="1965" spans="1:17" x14ac:dyDescent="0.3">
      <c r="A1965" s="1" t="str">
        <f t="shared" si="600"/>
        <v>R2</v>
      </c>
      <c r="B1965" s="1" t="str">
        <f>"L131101"</f>
        <v>L131101</v>
      </c>
      <c r="C1965" s="1" t="str">
        <f>"뇨중 아질산염 검출"</f>
        <v>뇨중 아질산염 검출</v>
      </c>
      <c r="D1965" s="1" t="str">
        <f>"소변검사에서 아질산염 성분이 검출됩니다. 소변의 아질산염 성분은 비뇨기계의 염증이 있을 경우 나타날 수 있습니다. 가까운 시일내에 소변 검사를 다시 받고 상담하시기 바랍니다."</f>
        <v>소변검사에서 아질산염 성분이 검출됩니다. 소변의 아질산염 성분은 비뇨기계의 염증이 있을 경우 나타날 수 있습니다. 가까운 시일내에 소변 검사를 다시 받고 상담하시기 바랍니다.</v>
      </c>
      <c r="E1965" s="1" t="str">
        <f>""</f>
        <v/>
      </c>
      <c r="F1965" s="1" t="str">
        <f>""</f>
        <v/>
      </c>
      <c r="G1965" s="1" t="str">
        <f>""</f>
        <v/>
      </c>
      <c r="H1965" s="1" t="str">
        <f>""</f>
        <v/>
      </c>
      <c r="I1965" s="1" t="str">
        <f>""</f>
        <v/>
      </c>
      <c r="J1965" s="1" t="str">
        <f>""</f>
        <v/>
      </c>
      <c r="K1965" s="1" t="str">
        <f>""</f>
        <v/>
      </c>
      <c r="L1965" s="1" t="str">
        <f t="shared" si="589"/>
        <v>R</v>
      </c>
      <c r="M1965" s="1" t="str">
        <f>""</f>
        <v/>
      </c>
      <c r="N1965" s="1" t="str">
        <f t="shared" si="590"/>
        <v>Y</v>
      </c>
      <c r="O1965" s="1" t="str">
        <f t="shared" si="598"/>
        <v>Y</v>
      </c>
      <c r="P1965" s="1" t="str">
        <f t="shared" si="592"/>
        <v>Y</v>
      </c>
      <c r="Q1965" s="1" t="str">
        <f t="shared" si="599"/>
        <v>A</v>
      </c>
    </row>
    <row r="1966" spans="1:17" x14ac:dyDescent="0.3">
      <c r="A1966" s="1" t="str">
        <f t="shared" si="600"/>
        <v>R2</v>
      </c>
      <c r="B1966" s="1" t="str">
        <f>"L249101"</f>
        <v>L249101</v>
      </c>
      <c r="C1966" s="1" t="str">
        <f>"호산구 경미하게 증가"</f>
        <v>호산구 경미하게 증가</v>
      </c>
      <c r="D1966" s="1" t="s">
        <v>420</v>
      </c>
      <c r="E1966" s="1" t="str">
        <f>""</f>
        <v/>
      </c>
      <c r="F1966" s="1" t="str">
        <f>""</f>
        <v/>
      </c>
      <c r="G1966" s="1" t="str">
        <f>""</f>
        <v/>
      </c>
      <c r="H1966" s="1" t="str">
        <f>""</f>
        <v/>
      </c>
      <c r="I1966" s="1" t="str">
        <f>""</f>
        <v/>
      </c>
      <c r="J1966" s="1" t="str">
        <f>""</f>
        <v/>
      </c>
      <c r="K1966" s="1" t="str">
        <f>""</f>
        <v/>
      </c>
      <c r="L1966" s="1" t="str">
        <f t="shared" si="589"/>
        <v>R</v>
      </c>
      <c r="M1966" s="1" t="str">
        <f>""</f>
        <v/>
      </c>
      <c r="N1966" s="1" t="str">
        <f t="shared" si="590"/>
        <v>Y</v>
      </c>
      <c r="O1966" s="1" t="str">
        <f t="shared" si="598"/>
        <v>Y</v>
      </c>
      <c r="P1966" s="1" t="str">
        <f t="shared" si="592"/>
        <v>Y</v>
      </c>
      <c r="Q1966" s="1" t="str">
        <f t="shared" si="599"/>
        <v>A</v>
      </c>
    </row>
    <row r="1967" spans="1:17" x14ac:dyDescent="0.3">
      <c r="A1967" s="1" t="str">
        <f t="shared" si="600"/>
        <v>R2</v>
      </c>
      <c r="B1967" s="1" t="str">
        <f>"L249102"</f>
        <v>L249102</v>
      </c>
      <c r="C1967" s="1" t="str">
        <f>"호산구 증가"</f>
        <v>호산구 증가</v>
      </c>
      <c r="D1967" s="1" t="s">
        <v>465</v>
      </c>
      <c r="E1967" s="1" t="str">
        <f>""</f>
        <v/>
      </c>
      <c r="F1967" s="1" t="str">
        <f>""</f>
        <v/>
      </c>
      <c r="G1967" s="1" t="str">
        <f>""</f>
        <v/>
      </c>
      <c r="H1967" s="1" t="str">
        <f>""</f>
        <v/>
      </c>
      <c r="I1967" s="1" t="str">
        <f>""</f>
        <v/>
      </c>
      <c r="J1967" s="1" t="str">
        <f>""</f>
        <v/>
      </c>
      <c r="K1967" s="1" t="str">
        <f>""</f>
        <v/>
      </c>
      <c r="L1967" s="1" t="str">
        <f t="shared" si="589"/>
        <v>R</v>
      </c>
      <c r="M1967" s="1" t="str">
        <f>""</f>
        <v/>
      </c>
      <c r="N1967" s="1" t="str">
        <f t="shared" si="590"/>
        <v>Y</v>
      </c>
      <c r="O1967" s="1" t="str">
        <f t="shared" si="598"/>
        <v>Y</v>
      </c>
      <c r="P1967" s="1" t="str">
        <f t="shared" si="592"/>
        <v>Y</v>
      </c>
      <c r="Q1967" s="1" t="str">
        <f t="shared" si="599"/>
        <v>A</v>
      </c>
    </row>
    <row r="1968" spans="1:17" x14ac:dyDescent="0.3">
      <c r="A1968" s="1" t="str">
        <f t="shared" si="600"/>
        <v>R2</v>
      </c>
      <c r="B1968" s="1" t="str">
        <f>"L249103"</f>
        <v>L249103</v>
      </c>
      <c r="C1968" s="1" t="str">
        <f>"호산구 감소"</f>
        <v>호산구 감소</v>
      </c>
      <c r="D1968" s="1" t="s">
        <v>541</v>
      </c>
      <c r="E1968" s="1" t="str">
        <f>""</f>
        <v/>
      </c>
      <c r="F1968" s="1" t="str">
        <f>""</f>
        <v/>
      </c>
      <c r="G1968" s="1" t="str">
        <f>""</f>
        <v/>
      </c>
      <c r="H1968" s="1" t="str">
        <f>""</f>
        <v/>
      </c>
      <c r="I1968" s="1" t="str">
        <f>""</f>
        <v/>
      </c>
      <c r="J1968" s="1" t="str">
        <f>""</f>
        <v/>
      </c>
      <c r="K1968" s="1" t="str">
        <f>""</f>
        <v/>
      </c>
      <c r="L1968" s="1" t="str">
        <f t="shared" si="589"/>
        <v>R</v>
      </c>
      <c r="M1968" s="1" t="str">
        <f>""</f>
        <v/>
      </c>
      <c r="N1968" s="1" t="str">
        <f t="shared" si="590"/>
        <v>Y</v>
      </c>
      <c r="O1968" s="1" t="str">
        <f t="shared" si="598"/>
        <v>Y</v>
      </c>
      <c r="P1968" s="1" t="str">
        <f t="shared" si="592"/>
        <v>Y</v>
      </c>
      <c r="Q1968" s="1" t="str">
        <f t="shared" si="599"/>
        <v>A</v>
      </c>
    </row>
    <row r="1969" spans="1:17" x14ac:dyDescent="0.3">
      <c r="A1969" s="1" t="str">
        <f t="shared" si="600"/>
        <v>R2</v>
      </c>
      <c r="B1969" s="1" t="str">
        <f>"L260201"</f>
        <v>L260201</v>
      </c>
      <c r="C1969" s="1" t="str">
        <f>"알카리포스파타제 상승"</f>
        <v>알카리포스파타제 상승</v>
      </c>
      <c r="D1969" s="1" t="str">
        <f>"혈중 알칼리성 포스파타제치가 상승했습니다. 간기능의 보조지표로서 건강인에서도 흔히 상승하므로 단독으로 상승한 경우에는 큰 의미가 없습니다."</f>
        <v>혈중 알칼리성 포스파타제치가 상승했습니다. 간기능의 보조지표로서 건강인에서도 흔히 상승하므로 단독으로 상승한 경우에는 큰 의미가 없습니다.</v>
      </c>
      <c r="E1969" s="1" t="str">
        <f>""</f>
        <v/>
      </c>
      <c r="F1969" s="1" t="str">
        <f>""</f>
        <v/>
      </c>
      <c r="G1969" s="1" t="str">
        <f>""</f>
        <v/>
      </c>
      <c r="H1969" s="1" t="str">
        <f>""</f>
        <v/>
      </c>
      <c r="I1969" s="1" t="str">
        <f>""</f>
        <v/>
      </c>
      <c r="J1969" s="1" t="str">
        <f>""</f>
        <v/>
      </c>
      <c r="K1969" s="1" t="str">
        <f>""</f>
        <v/>
      </c>
      <c r="L1969" s="1" t="str">
        <f t="shared" si="589"/>
        <v>R</v>
      </c>
      <c r="M1969" s="1" t="str">
        <f>""</f>
        <v/>
      </c>
      <c r="N1969" s="1" t="str">
        <f t="shared" si="590"/>
        <v>Y</v>
      </c>
      <c r="O1969" s="1" t="str">
        <f t="shared" si="598"/>
        <v>Y</v>
      </c>
      <c r="P1969" s="1" t="str">
        <f t="shared" si="592"/>
        <v>Y</v>
      </c>
      <c r="Q1969" s="1" t="str">
        <f t="shared" si="599"/>
        <v>A</v>
      </c>
    </row>
    <row r="1970" spans="1:17" x14ac:dyDescent="0.3">
      <c r="A1970" s="1" t="str">
        <f t="shared" si="600"/>
        <v>R2</v>
      </c>
      <c r="B1970" s="1" t="str">
        <f>"L260202"</f>
        <v>L260202</v>
      </c>
      <c r="C1970" s="1" t="str">
        <f>"알카리포스파타제 감소"</f>
        <v>알카리포스파타제 감소</v>
      </c>
      <c r="D1970" s="1" t="str">
        <f>"혈중 알칼리성 포스파타제치가 정상범위 보다 감소하였습니다. 간기능의 보조지표로서 단독으로 감소한 경우에는 큰 의미가 없습니다."</f>
        <v>혈중 알칼리성 포스파타제치가 정상범위 보다 감소하였습니다. 간기능의 보조지표로서 단독으로 감소한 경우에는 큰 의미가 없습니다.</v>
      </c>
      <c r="E1970" s="1" t="str">
        <f>""</f>
        <v/>
      </c>
      <c r="F1970" s="1" t="str">
        <f>""</f>
        <v/>
      </c>
      <c r="G1970" s="1" t="str">
        <f>""</f>
        <v/>
      </c>
      <c r="H1970" s="1" t="str">
        <f>""</f>
        <v/>
      </c>
      <c r="I1970" s="1" t="str">
        <f>""</f>
        <v/>
      </c>
      <c r="J1970" s="1" t="str">
        <f>""</f>
        <v/>
      </c>
      <c r="K1970" s="1" t="str">
        <f>""</f>
        <v/>
      </c>
      <c r="L1970" s="1" t="str">
        <f t="shared" si="589"/>
        <v>R</v>
      </c>
      <c r="M1970" s="1" t="str">
        <f>""</f>
        <v/>
      </c>
      <c r="N1970" s="1" t="str">
        <f t="shared" si="590"/>
        <v>Y</v>
      </c>
      <c r="O1970" s="1" t="str">
        <f t="shared" si="598"/>
        <v>Y</v>
      </c>
      <c r="P1970" s="1" t="str">
        <f t="shared" si="592"/>
        <v>Y</v>
      </c>
      <c r="Q1970" s="1" t="str">
        <f t="shared" si="599"/>
        <v>A</v>
      </c>
    </row>
    <row r="1971" spans="1:17" x14ac:dyDescent="0.3">
      <c r="A1971" s="1" t="str">
        <f t="shared" si="600"/>
        <v>R2</v>
      </c>
      <c r="B1971" s="1" t="str">
        <f>"L261101"</f>
        <v>L261101</v>
      </c>
      <c r="C1971" s="1" t="str">
        <f>"아밀라제 상승"</f>
        <v>아밀라제 상승</v>
      </c>
      <c r="D1971" s="1" t="s">
        <v>542</v>
      </c>
      <c r="E1971" s="1" t="str">
        <f>""</f>
        <v/>
      </c>
      <c r="F1971" s="1" t="str">
        <f>""</f>
        <v/>
      </c>
      <c r="G1971" s="1" t="str">
        <f>""</f>
        <v/>
      </c>
      <c r="H1971" s="1" t="str">
        <f>""</f>
        <v/>
      </c>
      <c r="I1971" s="1" t="str">
        <f>""</f>
        <v/>
      </c>
      <c r="J1971" s="1" t="str">
        <f>""</f>
        <v/>
      </c>
      <c r="K1971" s="1" t="str">
        <f>""</f>
        <v/>
      </c>
      <c r="L1971" s="1" t="str">
        <f t="shared" si="589"/>
        <v>R</v>
      </c>
      <c r="M1971" s="1" t="str">
        <f>""</f>
        <v/>
      </c>
      <c r="N1971" s="1" t="str">
        <f t="shared" si="590"/>
        <v>Y</v>
      </c>
      <c r="O1971" s="1" t="str">
        <f t="shared" si="598"/>
        <v>Y</v>
      </c>
      <c r="P1971" s="1" t="str">
        <f t="shared" si="592"/>
        <v>Y</v>
      </c>
      <c r="Q1971" s="1" t="str">
        <f t="shared" si="599"/>
        <v>A</v>
      </c>
    </row>
    <row r="1972" spans="1:17" x14ac:dyDescent="0.3">
      <c r="A1972" s="1" t="str">
        <f t="shared" si="600"/>
        <v>R2</v>
      </c>
      <c r="B1972" s="1" t="str">
        <f>"L261102"</f>
        <v>L261102</v>
      </c>
      <c r="C1972" s="1" t="str">
        <f>"아밀라제 저하"</f>
        <v>아밀라제 저하</v>
      </c>
      <c r="D1972" s="1" t="s">
        <v>543</v>
      </c>
      <c r="E1972" s="1" t="str">
        <f>""</f>
        <v/>
      </c>
      <c r="F1972" s="1" t="str">
        <f>""</f>
        <v/>
      </c>
      <c r="G1972" s="1" t="str">
        <f>""</f>
        <v/>
      </c>
      <c r="H1972" s="1" t="str">
        <f>""</f>
        <v/>
      </c>
      <c r="I1972" s="1" t="str">
        <f>""</f>
        <v/>
      </c>
      <c r="J1972" s="1" t="str">
        <f>""</f>
        <v/>
      </c>
      <c r="K1972" s="1" t="str">
        <f>""</f>
        <v/>
      </c>
      <c r="L1972" s="1" t="str">
        <f t="shared" si="589"/>
        <v>R</v>
      </c>
      <c r="M1972" s="1" t="str">
        <f>""</f>
        <v/>
      </c>
      <c r="N1972" s="1" t="str">
        <f t="shared" si="590"/>
        <v>Y</v>
      </c>
      <c r="O1972" s="1" t="str">
        <f t="shared" si="598"/>
        <v>Y</v>
      </c>
      <c r="P1972" s="1" t="str">
        <f t="shared" si="592"/>
        <v>Y</v>
      </c>
      <c r="Q1972" s="1" t="str">
        <f t="shared" si="599"/>
        <v>A</v>
      </c>
    </row>
    <row r="1973" spans="1:17" x14ac:dyDescent="0.3">
      <c r="A1973" s="1" t="str">
        <f t="shared" si="600"/>
        <v>R2</v>
      </c>
      <c r="B1973" s="1" t="str">
        <f>"L346801"</f>
        <v>L346801</v>
      </c>
      <c r="C1973" s="1" t="str">
        <f>"콜린에스터라제 감소"</f>
        <v>콜린에스터라제 감소</v>
      </c>
      <c r="D1973" s="1" t="s">
        <v>544</v>
      </c>
      <c r="E1973" s="1" t="str">
        <f>""</f>
        <v/>
      </c>
      <c r="F1973" s="1" t="str">
        <f>""</f>
        <v/>
      </c>
      <c r="G1973" s="1" t="str">
        <f>""</f>
        <v/>
      </c>
      <c r="H1973" s="1" t="str">
        <f>""</f>
        <v/>
      </c>
      <c r="I1973" s="1" t="str">
        <f>""</f>
        <v/>
      </c>
      <c r="J1973" s="1" t="str">
        <f>""</f>
        <v/>
      </c>
      <c r="K1973" s="1" t="str">
        <f>""</f>
        <v/>
      </c>
      <c r="L1973" s="1" t="str">
        <f t="shared" si="589"/>
        <v>R</v>
      </c>
      <c r="M1973" s="1" t="str">
        <f>""</f>
        <v/>
      </c>
      <c r="N1973" s="1" t="str">
        <f t="shared" si="590"/>
        <v>Y</v>
      </c>
      <c r="O1973" s="1" t="str">
        <f t="shared" si="598"/>
        <v>Y</v>
      </c>
      <c r="P1973" s="1" t="str">
        <f t="shared" si="592"/>
        <v>Y</v>
      </c>
      <c r="Q1973" s="1" t="str">
        <f t="shared" si="599"/>
        <v>A</v>
      </c>
    </row>
    <row r="1974" spans="1:17" x14ac:dyDescent="0.3">
      <c r="A1974" s="1" t="str">
        <f t="shared" si="600"/>
        <v>R2</v>
      </c>
      <c r="B1974" s="1" t="str">
        <f>"L346802"</f>
        <v>L346802</v>
      </c>
      <c r="C1974" s="1" t="str">
        <f>"콜린에스터라제 증가"</f>
        <v>콜린에스터라제 증가</v>
      </c>
      <c r="D1974" s="1" t="s">
        <v>545</v>
      </c>
      <c r="E1974" s="1" t="str">
        <f>""</f>
        <v/>
      </c>
      <c r="F1974" s="1" t="str">
        <f>""</f>
        <v/>
      </c>
      <c r="G1974" s="1" t="str">
        <f>""</f>
        <v/>
      </c>
      <c r="H1974" s="1" t="str">
        <f>""</f>
        <v/>
      </c>
      <c r="I1974" s="1" t="str">
        <f>""</f>
        <v/>
      </c>
      <c r="J1974" s="1" t="str">
        <f>""</f>
        <v/>
      </c>
      <c r="K1974" s="1" t="str">
        <f>""</f>
        <v/>
      </c>
      <c r="L1974" s="1" t="str">
        <f t="shared" si="589"/>
        <v>R</v>
      </c>
      <c r="M1974" s="1" t="str">
        <f>""</f>
        <v/>
      </c>
      <c r="N1974" s="1" t="str">
        <f t="shared" si="590"/>
        <v>Y</v>
      </c>
      <c r="O1974" s="1" t="str">
        <f t="shared" si="598"/>
        <v>Y</v>
      </c>
      <c r="P1974" s="1" t="str">
        <f t="shared" si="592"/>
        <v>Y</v>
      </c>
      <c r="Q1974" s="1" t="str">
        <f t="shared" si="599"/>
        <v>A</v>
      </c>
    </row>
    <row r="1975" spans="1:17" x14ac:dyDescent="0.3">
      <c r="A1975" s="1" t="str">
        <f t="shared" si="600"/>
        <v>R2</v>
      </c>
      <c r="B1975" s="1" t="str">
        <f>"L372001"</f>
        <v>L372001</v>
      </c>
      <c r="C1975" s="1" t="str">
        <f>"총빌리루빈 증가"</f>
        <v>총빌리루빈 증가</v>
      </c>
      <c r="D1975" s="1" t="s">
        <v>546</v>
      </c>
      <c r="E1975" s="1" t="str">
        <f>""</f>
        <v/>
      </c>
      <c r="F1975" s="1" t="str">
        <f>""</f>
        <v/>
      </c>
      <c r="G1975" s="1" t="str">
        <f>""</f>
        <v/>
      </c>
      <c r="H1975" s="1" t="str">
        <f>""</f>
        <v/>
      </c>
      <c r="I1975" s="1" t="str">
        <f>""</f>
        <v/>
      </c>
      <c r="J1975" s="1" t="str">
        <f>""</f>
        <v/>
      </c>
      <c r="K1975" s="1" t="str">
        <f>""</f>
        <v/>
      </c>
      <c r="L1975" s="1" t="str">
        <f t="shared" si="589"/>
        <v>R</v>
      </c>
      <c r="M1975" s="1" t="str">
        <f>""</f>
        <v/>
      </c>
      <c r="N1975" s="1" t="str">
        <f t="shared" si="590"/>
        <v>Y</v>
      </c>
      <c r="O1975" s="1" t="str">
        <f t="shared" si="598"/>
        <v>Y</v>
      </c>
      <c r="P1975" s="1" t="str">
        <f t="shared" si="592"/>
        <v>Y</v>
      </c>
      <c r="Q1975" s="1" t="str">
        <f t="shared" si="599"/>
        <v>A</v>
      </c>
    </row>
    <row r="1976" spans="1:17" x14ac:dyDescent="0.3">
      <c r="A1976" s="1" t="str">
        <f t="shared" si="600"/>
        <v>R2</v>
      </c>
      <c r="B1976" s="1" t="str">
        <f>"L372003"</f>
        <v>L372003</v>
      </c>
      <c r="C1976" s="1" t="str">
        <f>"직접빌리루빈 증가"</f>
        <v>직접빌리루빈 증가</v>
      </c>
      <c r="D1976" s="1" t="s">
        <v>547</v>
      </c>
      <c r="E1976" s="1" t="str">
        <f>""</f>
        <v/>
      </c>
      <c r="F1976" s="1" t="str">
        <f>""</f>
        <v/>
      </c>
      <c r="G1976" s="1" t="str">
        <f>""</f>
        <v/>
      </c>
      <c r="H1976" s="1" t="str">
        <f>""</f>
        <v/>
      </c>
      <c r="I1976" s="1" t="str">
        <f>""</f>
        <v/>
      </c>
      <c r="J1976" s="1" t="str">
        <f>""</f>
        <v/>
      </c>
      <c r="K1976" s="1" t="str">
        <f>""</f>
        <v/>
      </c>
      <c r="L1976" s="1" t="str">
        <f t="shared" ref="L1976:L2039" si="601">"R"</f>
        <v>R</v>
      </c>
      <c r="M1976" s="1" t="str">
        <f>""</f>
        <v/>
      </c>
      <c r="N1976" s="1" t="str">
        <f t="shared" ref="N1976:N2039" si="602">"Y"</f>
        <v>Y</v>
      </c>
      <c r="O1976" s="1" t="str">
        <f t="shared" si="598"/>
        <v>Y</v>
      </c>
      <c r="P1976" s="1" t="str">
        <f t="shared" si="592"/>
        <v>Y</v>
      </c>
      <c r="Q1976" s="1" t="str">
        <f t="shared" si="599"/>
        <v>A</v>
      </c>
    </row>
    <row r="1977" spans="1:17" x14ac:dyDescent="0.3">
      <c r="A1977" s="1" t="str">
        <f t="shared" si="600"/>
        <v>R2</v>
      </c>
      <c r="B1977" s="1" t="str">
        <f>"L372004"</f>
        <v>L372004</v>
      </c>
      <c r="C1977" s="1" t="str">
        <f>"간접빌리루빈 증가"</f>
        <v>간접빌리루빈 증가</v>
      </c>
      <c r="D1977" s="1" t="str">
        <f>"알부민과 결합한 간접빌리루빈은 뇌조직이나 지방에 대한 친화성이 강한데 보통때는 나타나지 않습니다. 황달시 간접빌리루빈이 증가하는데 특히 용혈성 질환시 두드러지게 증가합니다. 내원하시어 상담받으시기 바랍니다."</f>
        <v>알부민과 결합한 간접빌리루빈은 뇌조직이나 지방에 대한 친화성이 강한데 보통때는 나타나지 않습니다. 황달시 간접빌리루빈이 증가하는데 특히 용혈성 질환시 두드러지게 증가합니다. 내원하시어 상담받으시기 바랍니다.</v>
      </c>
      <c r="E1977" s="1" t="str">
        <f>""</f>
        <v/>
      </c>
      <c r="F1977" s="1" t="str">
        <f>""</f>
        <v/>
      </c>
      <c r="G1977" s="1" t="str">
        <f>""</f>
        <v/>
      </c>
      <c r="H1977" s="1" t="str">
        <f>""</f>
        <v/>
      </c>
      <c r="I1977" s="1" t="str">
        <f>""</f>
        <v/>
      </c>
      <c r="J1977" s="1" t="str">
        <f>""</f>
        <v/>
      </c>
      <c r="K1977" s="1" t="str">
        <f>""</f>
        <v/>
      </c>
      <c r="L1977" s="1" t="str">
        <f t="shared" si="601"/>
        <v>R</v>
      </c>
      <c r="M1977" s="1" t="str">
        <f>""</f>
        <v/>
      </c>
      <c r="N1977" s="1" t="str">
        <f t="shared" si="602"/>
        <v>Y</v>
      </c>
      <c r="O1977" s="1" t="str">
        <f t="shared" si="598"/>
        <v>Y</v>
      </c>
      <c r="P1977" s="1" t="str">
        <f t="shared" si="592"/>
        <v>Y</v>
      </c>
      <c r="Q1977" s="1" t="str">
        <f t="shared" si="599"/>
        <v>A</v>
      </c>
    </row>
    <row r="1978" spans="1:17" x14ac:dyDescent="0.3">
      <c r="A1978" s="1" t="str">
        <f t="shared" si="600"/>
        <v>R2</v>
      </c>
      <c r="B1978" s="1" t="str">
        <f>"L372005"</f>
        <v>L372005</v>
      </c>
      <c r="C1978" s="1" t="str">
        <f>"간접빌리루빈 감소"</f>
        <v>간접빌리루빈 감소</v>
      </c>
      <c r="D1978" s="1" t="s">
        <v>548</v>
      </c>
      <c r="E1978" s="1" t="str">
        <f>""</f>
        <v/>
      </c>
      <c r="F1978" s="1" t="str">
        <f>""</f>
        <v/>
      </c>
      <c r="G1978" s="1" t="str">
        <f>""</f>
        <v/>
      </c>
      <c r="H1978" s="1" t="str">
        <f>""</f>
        <v/>
      </c>
      <c r="I1978" s="1" t="str">
        <f>""</f>
        <v/>
      </c>
      <c r="J1978" s="1" t="str">
        <f>""</f>
        <v/>
      </c>
      <c r="K1978" s="1" t="str">
        <f>""</f>
        <v/>
      </c>
      <c r="L1978" s="1" t="str">
        <f t="shared" si="601"/>
        <v>R</v>
      </c>
      <c r="M1978" s="1" t="str">
        <f>""</f>
        <v/>
      </c>
      <c r="N1978" s="1" t="str">
        <f t="shared" si="602"/>
        <v>Y</v>
      </c>
      <c r="O1978" s="1" t="str">
        <f t="shared" si="598"/>
        <v>Y</v>
      </c>
      <c r="P1978" s="1" t="str">
        <f t="shared" si="592"/>
        <v>Y</v>
      </c>
      <c r="Q1978" s="1" t="str">
        <f t="shared" si="599"/>
        <v>A</v>
      </c>
    </row>
    <row r="1979" spans="1:17" x14ac:dyDescent="0.3">
      <c r="A1979" s="1" t="str">
        <f t="shared" si="600"/>
        <v>R2</v>
      </c>
      <c r="B1979" s="1" t="str">
        <f>"L375001"</f>
        <v>L375001</v>
      </c>
      <c r="C1979" s="1" t="str">
        <f>"혈중 크레아티닌 상승"</f>
        <v>혈중 크레아티닌 상승</v>
      </c>
      <c r="D1979" s="1" t="str">
        <f>"혈중 크레아티닌(Creatinine)치가 높습니다. 신기능을 나타내는 지표로서 신장에서 혈액의 불순물을 제거하여 소변으로 배설하는 기능에 이상이 생긴 것을 의심케 합니다. 내원하셔서 상담하시기 바랍니다."</f>
        <v>혈중 크레아티닌(Creatinine)치가 높습니다. 신기능을 나타내는 지표로서 신장에서 혈액의 불순물을 제거하여 소변으로 배설하는 기능에 이상이 생긴 것을 의심케 합니다. 내원하셔서 상담하시기 바랍니다.</v>
      </c>
      <c r="E1979" s="1" t="str">
        <f>""</f>
        <v/>
      </c>
      <c r="F1979" s="1" t="str">
        <f>""</f>
        <v/>
      </c>
      <c r="G1979" s="1" t="str">
        <f>""</f>
        <v/>
      </c>
      <c r="H1979" s="1" t="str">
        <f>""</f>
        <v/>
      </c>
      <c r="I1979" s="1" t="str">
        <f>""</f>
        <v/>
      </c>
      <c r="J1979" s="1" t="str">
        <f>""</f>
        <v/>
      </c>
      <c r="K1979" s="1" t="str">
        <f>""</f>
        <v/>
      </c>
      <c r="L1979" s="1" t="str">
        <f t="shared" si="601"/>
        <v>R</v>
      </c>
      <c r="M1979" s="1" t="str">
        <f>""</f>
        <v/>
      </c>
      <c r="N1979" s="1" t="str">
        <f t="shared" si="602"/>
        <v>Y</v>
      </c>
      <c r="O1979" s="1" t="str">
        <f t="shared" si="598"/>
        <v>Y</v>
      </c>
      <c r="P1979" s="1" t="str">
        <f t="shared" si="592"/>
        <v>Y</v>
      </c>
      <c r="Q1979" s="1" t="str">
        <f t="shared" si="599"/>
        <v>A</v>
      </c>
    </row>
    <row r="1980" spans="1:17" x14ac:dyDescent="0.3">
      <c r="A1980" s="1" t="str">
        <f t="shared" si="600"/>
        <v>R2</v>
      </c>
      <c r="B1980" s="1" t="str">
        <f>"L375002"</f>
        <v>L375002</v>
      </c>
      <c r="C1980" s="1" t="str">
        <f>"혈중 크레아티닌 감소"</f>
        <v>혈중 크레아티닌 감소</v>
      </c>
      <c r="D1980" s="1" t="str">
        <f>"혈중 크레아티닌(Creatinine)치가 정상범위를 벗어나 낮게 측정되었습니다. 크레아티닌은 신기능을 나타내는 지표입니다. 경미한 감소는 임상적으로 큰 의미는 없으나 1개월내 내원하셔서 재검사 및 상담받으시기 바랍니다."</f>
        <v>혈중 크레아티닌(Creatinine)치가 정상범위를 벗어나 낮게 측정되었습니다. 크레아티닌은 신기능을 나타내는 지표입니다. 경미한 감소는 임상적으로 큰 의미는 없으나 1개월내 내원하셔서 재검사 및 상담받으시기 바랍니다.</v>
      </c>
      <c r="E1980" s="1" t="str">
        <f>""</f>
        <v/>
      </c>
      <c r="F1980" s="1" t="str">
        <f>""</f>
        <v/>
      </c>
      <c r="G1980" s="1" t="str">
        <f>""</f>
        <v/>
      </c>
      <c r="H1980" s="1" t="str">
        <f>""</f>
        <v/>
      </c>
      <c r="I1980" s="1" t="str">
        <f>""</f>
        <v/>
      </c>
      <c r="J1980" s="1" t="str">
        <f>""</f>
        <v/>
      </c>
      <c r="K1980" s="1" t="str">
        <f>""</f>
        <v/>
      </c>
      <c r="L1980" s="1" t="str">
        <f t="shared" si="601"/>
        <v>R</v>
      </c>
      <c r="M1980" s="1" t="str">
        <f>""</f>
        <v/>
      </c>
      <c r="N1980" s="1" t="str">
        <f t="shared" si="602"/>
        <v>Y</v>
      </c>
      <c r="O1980" s="1" t="str">
        <f t="shared" si="598"/>
        <v>Y</v>
      </c>
      <c r="P1980" s="1" t="str">
        <f t="shared" si="592"/>
        <v>Y</v>
      </c>
      <c r="Q1980" s="1" t="str">
        <f t="shared" si="599"/>
        <v>A</v>
      </c>
    </row>
    <row r="1981" spans="1:17" x14ac:dyDescent="0.3">
      <c r="A1981" s="1" t="str">
        <f t="shared" si="600"/>
        <v>R2</v>
      </c>
      <c r="B1981" s="1" t="str">
        <f>"L379101"</f>
        <v>L379101</v>
      </c>
      <c r="C1981" s="1" t="str">
        <f>"혈중 나트륨 감소"</f>
        <v>혈중 나트륨 감소</v>
      </c>
      <c r="D1981" s="1" t="str">
        <f>"혈액내 나트륨성분이 감소하였습니다. 신진대사에 이상이 있는 경우 나타날 수 있으나 일시적인 현상일 가능성도 있습니다. 신체의 이상이 있는 경우 내원하여 상담하시기 바랍니다."</f>
        <v>혈액내 나트륨성분이 감소하였습니다. 신진대사에 이상이 있는 경우 나타날 수 있으나 일시적인 현상일 가능성도 있습니다. 신체의 이상이 있는 경우 내원하여 상담하시기 바랍니다.</v>
      </c>
      <c r="E1981" s="1" t="str">
        <f>""</f>
        <v/>
      </c>
      <c r="F1981" s="1" t="str">
        <f>""</f>
        <v/>
      </c>
      <c r="G1981" s="1" t="str">
        <f>""</f>
        <v/>
      </c>
      <c r="H1981" s="1" t="str">
        <f>""</f>
        <v/>
      </c>
      <c r="I1981" s="1" t="str">
        <f>""</f>
        <v/>
      </c>
      <c r="J1981" s="1" t="str">
        <f>""</f>
        <v/>
      </c>
      <c r="K1981" s="1" t="str">
        <f>""</f>
        <v/>
      </c>
      <c r="L1981" s="1" t="str">
        <f t="shared" si="601"/>
        <v>R</v>
      </c>
      <c r="M1981" s="1" t="str">
        <f>""</f>
        <v/>
      </c>
      <c r="N1981" s="1" t="str">
        <f t="shared" si="602"/>
        <v>Y</v>
      </c>
      <c r="O1981" s="1" t="str">
        <f t="shared" si="598"/>
        <v>Y</v>
      </c>
      <c r="P1981" s="1" t="str">
        <f t="shared" si="592"/>
        <v>Y</v>
      </c>
      <c r="Q1981" s="1" t="str">
        <f t="shared" si="599"/>
        <v>A</v>
      </c>
    </row>
    <row r="1982" spans="1:17" x14ac:dyDescent="0.3">
      <c r="A1982" s="1" t="str">
        <f t="shared" si="600"/>
        <v>R2</v>
      </c>
      <c r="B1982" s="1" t="str">
        <f>"L379102"</f>
        <v>L379102</v>
      </c>
      <c r="C1982" s="1" t="str">
        <f>"혈중 나트륨 증가"</f>
        <v>혈중 나트륨 증가</v>
      </c>
      <c r="D1982" s="1" t="str">
        <f>"혈액내 나트륨성분이 증가하였습니다. 신진대사에 이상이 있는 경우 나타날 수 있으나 일시적인 현상일 가능성도 있습니다. 신체의 이상이 있는 경우 내원하여 상담하시기 바랍니다."</f>
        <v>혈액내 나트륨성분이 증가하였습니다. 신진대사에 이상이 있는 경우 나타날 수 있으나 일시적인 현상일 가능성도 있습니다. 신체의 이상이 있는 경우 내원하여 상담하시기 바랍니다.</v>
      </c>
      <c r="E1982" s="1" t="str">
        <f>""</f>
        <v/>
      </c>
      <c r="F1982" s="1" t="str">
        <f>""</f>
        <v/>
      </c>
      <c r="G1982" s="1" t="str">
        <f>""</f>
        <v/>
      </c>
      <c r="H1982" s="1" t="str">
        <f>""</f>
        <v/>
      </c>
      <c r="I1982" s="1" t="str">
        <f>""</f>
        <v/>
      </c>
      <c r="J1982" s="1" t="str">
        <f>""</f>
        <v/>
      </c>
      <c r="K1982" s="1" t="str">
        <f>""</f>
        <v/>
      </c>
      <c r="L1982" s="1" t="str">
        <f t="shared" si="601"/>
        <v>R</v>
      </c>
      <c r="M1982" s="1" t="str">
        <f>""</f>
        <v/>
      </c>
      <c r="N1982" s="1" t="str">
        <f t="shared" si="602"/>
        <v>Y</v>
      </c>
      <c r="O1982" s="1" t="str">
        <f t="shared" si="598"/>
        <v>Y</v>
      </c>
      <c r="P1982" s="1" t="str">
        <f t="shared" si="592"/>
        <v>Y</v>
      </c>
      <c r="Q1982" s="1" t="str">
        <f t="shared" si="599"/>
        <v>A</v>
      </c>
    </row>
    <row r="1983" spans="1:17" x14ac:dyDescent="0.3">
      <c r="A1983" s="1" t="str">
        <f t="shared" si="600"/>
        <v>R2</v>
      </c>
      <c r="B1983" s="1" t="str">
        <f>"L379201"</f>
        <v>L379201</v>
      </c>
      <c r="C1983" s="1" t="str">
        <f>"혈중 칼륨 감소"</f>
        <v>혈중 칼륨 감소</v>
      </c>
      <c r="D1983" s="1" t="str">
        <f>"혈액내 칼륨성분이 감소하였습니다. 신진대사에 이상이 있는 경우 나타날 수 있으나 일시적인 현상일 가능성도 있습니다. 신체의 이상이 있는 경우 내원하여 상담하시기 바랍니다."</f>
        <v>혈액내 칼륨성분이 감소하였습니다. 신진대사에 이상이 있는 경우 나타날 수 있으나 일시적인 현상일 가능성도 있습니다. 신체의 이상이 있는 경우 내원하여 상담하시기 바랍니다.</v>
      </c>
      <c r="E1983" s="1" t="str">
        <f>""</f>
        <v/>
      </c>
      <c r="F1983" s="1" t="str">
        <f>""</f>
        <v/>
      </c>
      <c r="G1983" s="1" t="str">
        <f>""</f>
        <v/>
      </c>
      <c r="H1983" s="1" t="str">
        <f>""</f>
        <v/>
      </c>
      <c r="I1983" s="1" t="str">
        <f>""</f>
        <v/>
      </c>
      <c r="J1983" s="1" t="str">
        <f>""</f>
        <v/>
      </c>
      <c r="K1983" s="1" t="str">
        <f>""</f>
        <v/>
      </c>
      <c r="L1983" s="1" t="str">
        <f t="shared" si="601"/>
        <v>R</v>
      </c>
      <c r="M1983" s="1" t="str">
        <f>""</f>
        <v/>
      </c>
      <c r="N1983" s="1" t="str">
        <f t="shared" si="602"/>
        <v>Y</v>
      </c>
      <c r="O1983" s="1" t="str">
        <f t="shared" si="598"/>
        <v>Y</v>
      </c>
      <c r="P1983" s="1" t="str">
        <f t="shared" si="592"/>
        <v>Y</v>
      </c>
      <c r="Q1983" s="1" t="str">
        <f t="shared" si="599"/>
        <v>A</v>
      </c>
    </row>
    <row r="1984" spans="1:17" x14ac:dyDescent="0.3">
      <c r="A1984" s="1" t="str">
        <f t="shared" ref="A1984:A1991" si="603">"R2"</f>
        <v>R2</v>
      </c>
      <c r="B1984" s="1" t="str">
        <f>"L379202"</f>
        <v>L379202</v>
      </c>
      <c r="C1984" s="1" t="str">
        <f>"혈중 칼륨 증가"</f>
        <v>혈중 칼륨 증가</v>
      </c>
      <c r="D1984" s="1" t="str">
        <f>"혈액내 칼륨성분이 증가하였습니다. 신진대사에 이상이 있는 경우 나타날 수 있으나 일시적인 현상일 가능성도 있습니다. 신체의 이상이 있는 경우 내원하여 상담하시기 바랍니다."</f>
        <v>혈액내 칼륨성분이 증가하였습니다. 신진대사에 이상이 있는 경우 나타날 수 있으나 일시적인 현상일 가능성도 있습니다. 신체의 이상이 있는 경우 내원하여 상담하시기 바랍니다.</v>
      </c>
      <c r="E1984" s="1" t="str">
        <f>""</f>
        <v/>
      </c>
      <c r="F1984" s="1" t="str">
        <f>""</f>
        <v/>
      </c>
      <c r="G1984" s="1" t="str">
        <f>""</f>
        <v/>
      </c>
      <c r="H1984" s="1" t="str">
        <f>""</f>
        <v/>
      </c>
      <c r="I1984" s="1" t="str">
        <f>""</f>
        <v/>
      </c>
      <c r="J1984" s="1" t="str">
        <f>""</f>
        <v/>
      </c>
      <c r="K1984" s="1" t="str">
        <f>""</f>
        <v/>
      </c>
      <c r="L1984" s="1" t="str">
        <f t="shared" si="601"/>
        <v>R</v>
      </c>
      <c r="M1984" s="1" t="str">
        <f>""</f>
        <v/>
      </c>
      <c r="N1984" s="1" t="str">
        <f t="shared" si="602"/>
        <v>Y</v>
      </c>
      <c r="O1984" s="1" t="str">
        <f t="shared" si="598"/>
        <v>Y</v>
      </c>
      <c r="P1984" s="1" t="str">
        <f t="shared" si="592"/>
        <v>Y</v>
      </c>
      <c r="Q1984" s="1" t="str">
        <f t="shared" si="599"/>
        <v>A</v>
      </c>
    </row>
    <row r="1985" spans="1:17" x14ac:dyDescent="0.3">
      <c r="A1985" s="1" t="str">
        <f t="shared" si="603"/>
        <v>R2</v>
      </c>
      <c r="B1985" s="1" t="str">
        <f>"L379301"</f>
        <v>L379301</v>
      </c>
      <c r="C1985" s="1" t="str">
        <f>"혈중 염소 감소"</f>
        <v>혈중 염소 감소</v>
      </c>
      <c r="D1985" s="1" t="str">
        <f>"혈액내 염소성분이 감소하였습니다. 신진대사에 이상이 있는 경우 나타날 수 있으나 일시적인 현상일 가능성도 있습니다. 신체의 이상이 있는 경우 내원하여 상담하시기 바랍니다."</f>
        <v>혈액내 염소성분이 감소하였습니다. 신진대사에 이상이 있는 경우 나타날 수 있으나 일시적인 현상일 가능성도 있습니다. 신체의 이상이 있는 경우 내원하여 상담하시기 바랍니다.</v>
      </c>
      <c r="E1985" s="1" t="str">
        <f>""</f>
        <v/>
      </c>
      <c r="F1985" s="1" t="str">
        <f>""</f>
        <v/>
      </c>
      <c r="G1985" s="1" t="str">
        <f>""</f>
        <v/>
      </c>
      <c r="H1985" s="1" t="str">
        <f>""</f>
        <v/>
      </c>
      <c r="I1985" s="1" t="str">
        <f>""</f>
        <v/>
      </c>
      <c r="J1985" s="1" t="str">
        <f>""</f>
        <v/>
      </c>
      <c r="K1985" s="1" t="str">
        <f>""</f>
        <v/>
      </c>
      <c r="L1985" s="1" t="str">
        <f t="shared" si="601"/>
        <v>R</v>
      </c>
      <c r="M1985" s="1" t="str">
        <f>""</f>
        <v/>
      </c>
      <c r="N1985" s="1" t="str">
        <f t="shared" si="602"/>
        <v>Y</v>
      </c>
      <c r="O1985" s="1" t="str">
        <f t="shared" si="598"/>
        <v>Y</v>
      </c>
      <c r="P1985" s="1" t="str">
        <f t="shared" si="592"/>
        <v>Y</v>
      </c>
      <c r="Q1985" s="1" t="str">
        <f t="shared" si="599"/>
        <v>A</v>
      </c>
    </row>
    <row r="1986" spans="1:17" x14ac:dyDescent="0.3">
      <c r="A1986" s="1" t="str">
        <f t="shared" si="603"/>
        <v>R2</v>
      </c>
      <c r="B1986" s="1" t="str">
        <f>"L379302"</f>
        <v>L379302</v>
      </c>
      <c r="C1986" s="1" t="str">
        <f>"혈중 염소 증가"</f>
        <v>혈중 염소 증가</v>
      </c>
      <c r="D1986" s="1" t="str">
        <f>"혈액내 염소성분이 증가하였습니다. 신진대사에 이상이 있는 경우 나타날 수 있으나 일시적인 현상일 가능성도 있습니다. 신체의 이상이 있는 경우 내원하여 상담하시기 바랍니다."</f>
        <v>혈액내 염소성분이 증가하였습니다. 신진대사에 이상이 있는 경우 나타날 수 있으나 일시적인 현상일 가능성도 있습니다. 신체의 이상이 있는 경우 내원하여 상담하시기 바랍니다.</v>
      </c>
      <c r="E1986" s="1" t="str">
        <f>""</f>
        <v/>
      </c>
      <c r="F1986" s="1" t="str">
        <f>""</f>
        <v/>
      </c>
      <c r="G1986" s="1" t="str">
        <f>""</f>
        <v/>
      </c>
      <c r="H1986" s="1" t="str">
        <f>""</f>
        <v/>
      </c>
      <c r="I1986" s="1" t="str">
        <f>""</f>
        <v/>
      </c>
      <c r="J1986" s="1" t="str">
        <f>""</f>
        <v/>
      </c>
      <c r="K1986" s="1" t="str">
        <f>""</f>
        <v/>
      </c>
      <c r="L1986" s="1" t="str">
        <f t="shared" si="601"/>
        <v>R</v>
      </c>
      <c r="M1986" s="1" t="str">
        <f>""</f>
        <v/>
      </c>
      <c r="N1986" s="1" t="str">
        <f t="shared" si="602"/>
        <v>Y</v>
      </c>
      <c r="O1986" s="1" t="str">
        <f t="shared" si="598"/>
        <v>Y</v>
      </c>
      <c r="P1986" s="1" t="str">
        <f t="shared" si="592"/>
        <v>Y</v>
      </c>
      <c r="Q1986" s="1" t="str">
        <f t="shared" si="599"/>
        <v>A</v>
      </c>
    </row>
    <row r="1987" spans="1:17" x14ac:dyDescent="0.3">
      <c r="A1987" s="1" t="str">
        <f t="shared" si="603"/>
        <v>R2</v>
      </c>
      <c r="B1987" s="1" t="str">
        <f>"L379401"</f>
        <v>L379401</v>
      </c>
      <c r="C1987" s="1" t="str">
        <f>"혈중 인 감소"</f>
        <v>혈중 인 감소</v>
      </c>
      <c r="D1987" s="1" t="s">
        <v>549</v>
      </c>
      <c r="E1987" s="1" t="str">
        <f>""</f>
        <v/>
      </c>
      <c r="F1987" s="1" t="str">
        <f>""</f>
        <v/>
      </c>
      <c r="G1987" s="1" t="str">
        <f>""</f>
        <v/>
      </c>
      <c r="H1987" s="1" t="str">
        <f>""</f>
        <v/>
      </c>
      <c r="I1987" s="1" t="str">
        <f>""</f>
        <v/>
      </c>
      <c r="J1987" s="1" t="str">
        <f>""</f>
        <v/>
      </c>
      <c r="K1987" s="1" t="str">
        <f>""</f>
        <v/>
      </c>
      <c r="L1987" s="1" t="str">
        <f t="shared" si="601"/>
        <v>R</v>
      </c>
      <c r="M1987" s="1" t="str">
        <f>""</f>
        <v/>
      </c>
      <c r="N1987" s="1" t="str">
        <f t="shared" si="602"/>
        <v>Y</v>
      </c>
      <c r="O1987" s="1" t="str">
        <f t="shared" si="598"/>
        <v>Y</v>
      </c>
      <c r="P1987" s="1" t="str">
        <f t="shared" si="592"/>
        <v>Y</v>
      </c>
      <c r="Q1987" s="1" t="str">
        <f t="shared" si="599"/>
        <v>A</v>
      </c>
    </row>
    <row r="1988" spans="1:17" x14ac:dyDescent="0.3">
      <c r="A1988" s="1" t="str">
        <f t="shared" si="603"/>
        <v>R2</v>
      </c>
      <c r="B1988" s="1" t="str">
        <f>"L379402"</f>
        <v>L379402</v>
      </c>
      <c r="C1988" s="1" t="str">
        <f>"혈중 인 증가"</f>
        <v>혈중 인 증가</v>
      </c>
      <c r="D1988" s="1" t="str">
        <f>"혈액내 인성분이 증가하였습니다. 신진대사에 이상이 있는 경우 나타날 수 있으나 일시적인 현상일 가능성도 있습니다. 신체의 이상이 있는 경우 내원하여 상담하시기 바랍니다."</f>
        <v>혈액내 인성분이 증가하였습니다. 신진대사에 이상이 있는 경우 나타날 수 있으나 일시적인 현상일 가능성도 있습니다. 신체의 이상이 있는 경우 내원하여 상담하시기 바랍니다.</v>
      </c>
      <c r="E1988" s="1" t="str">
        <f>""</f>
        <v/>
      </c>
      <c r="F1988" s="1" t="str">
        <f>""</f>
        <v/>
      </c>
      <c r="G1988" s="1" t="str">
        <f>""</f>
        <v/>
      </c>
      <c r="H1988" s="1" t="str">
        <f>""</f>
        <v/>
      </c>
      <c r="I1988" s="1" t="str">
        <f>""</f>
        <v/>
      </c>
      <c r="J1988" s="1" t="str">
        <f>""</f>
        <v/>
      </c>
      <c r="K1988" s="1" t="str">
        <f>""</f>
        <v/>
      </c>
      <c r="L1988" s="1" t="str">
        <f t="shared" si="601"/>
        <v>R</v>
      </c>
      <c r="M1988" s="1" t="str">
        <f>""</f>
        <v/>
      </c>
      <c r="N1988" s="1" t="str">
        <f t="shared" si="602"/>
        <v>Y</v>
      </c>
      <c r="O1988" s="1" t="str">
        <f t="shared" si="598"/>
        <v>Y</v>
      </c>
      <c r="P1988" s="1" t="str">
        <f t="shared" si="592"/>
        <v>Y</v>
      </c>
      <c r="Q1988" s="1" t="str">
        <f t="shared" si="599"/>
        <v>A</v>
      </c>
    </row>
    <row r="1989" spans="1:17" x14ac:dyDescent="0.3">
      <c r="A1989" s="1" t="str">
        <f t="shared" si="603"/>
        <v>R2</v>
      </c>
      <c r="B1989" s="1" t="str">
        <f>"L379501"</f>
        <v>L379501</v>
      </c>
      <c r="C1989" s="1" t="str">
        <f>"혈중 칼슘 감소"</f>
        <v>혈중 칼슘 감소</v>
      </c>
      <c r="D1989" s="1" t="s">
        <v>550</v>
      </c>
      <c r="E1989" s="1" t="str">
        <f>""</f>
        <v/>
      </c>
      <c r="F1989" s="1" t="str">
        <f>""</f>
        <v/>
      </c>
      <c r="G1989" s="1" t="str">
        <f>""</f>
        <v/>
      </c>
      <c r="H1989" s="1" t="str">
        <f>""</f>
        <v/>
      </c>
      <c r="I1989" s="1" t="str">
        <f>""</f>
        <v/>
      </c>
      <c r="J1989" s="1" t="str">
        <f>""</f>
        <v/>
      </c>
      <c r="K1989" s="1" t="str">
        <f>""</f>
        <v/>
      </c>
      <c r="L1989" s="1" t="str">
        <f t="shared" si="601"/>
        <v>R</v>
      </c>
      <c r="M1989" s="1" t="str">
        <f>""</f>
        <v/>
      </c>
      <c r="N1989" s="1" t="str">
        <f t="shared" si="602"/>
        <v>Y</v>
      </c>
      <c r="O1989" s="1" t="str">
        <f t="shared" si="598"/>
        <v>Y</v>
      </c>
      <c r="P1989" s="1" t="str">
        <f t="shared" si="592"/>
        <v>Y</v>
      </c>
      <c r="Q1989" s="1" t="str">
        <f t="shared" si="599"/>
        <v>A</v>
      </c>
    </row>
    <row r="1990" spans="1:17" x14ac:dyDescent="0.3">
      <c r="A1990" s="1" t="str">
        <f t="shared" si="603"/>
        <v>R2</v>
      </c>
      <c r="B1990" s="1" t="str">
        <f>"L379502"</f>
        <v>L379502</v>
      </c>
      <c r="C1990" s="1" t="str">
        <f>"혈중 칼슘 증가"</f>
        <v>혈중 칼슘 증가</v>
      </c>
      <c r="D1990" s="1" t="str">
        <f>"혈액내 칼슘성분이 증가하였습니다. 신진대사에 이상이 있는 경우 증가할 수 있으나 일시적인 현상일 가능성도 있습니다. 신체의 이상이 있는 경우 내원하여 상담하시기 바랍니다."</f>
        <v>혈액내 칼슘성분이 증가하였습니다. 신진대사에 이상이 있는 경우 증가할 수 있으나 일시적인 현상일 가능성도 있습니다. 신체의 이상이 있는 경우 내원하여 상담하시기 바랍니다.</v>
      </c>
      <c r="E1990" s="1" t="str">
        <f>""</f>
        <v/>
      </c>
      <c r="F1990" s="1" t="str">
        <f>""</f>
        <v/>
      </c>
      <c r="G1990" s="1" t="str">
        <f>""</f>
        <v/>
      </c>
      <c r="H1990" s="1" t="str">
        <f>""</f>
        <v/>
      </c>
      <c r="I1990" s="1" t="str">
        <f>""</f>
        <v/>
      </c>
      <c r="J1990" s="1" t="str">
        <f>""</f>
        <v/>
      </c>
      <c r="K1990" s="1" t="str">
        <f>""</f>
        <v/>
      </c>
      <c r="L1990" s="1" t="str">
        <f t="shared" si="601"/>
        <v>R</v>
      </c>
      <c r="M1990" s="1" t="str">
        <f>""</f>
        <v/>
      </c>
      <c r="N1990" s="1" t="str">
        <f t="shared" si="602"/>
        <v>Y</v>
      </c>
      <c r="O1990" s="1" t="str">
        <f t="shared" si="598"/>
        <v>Y</v>
      </c>
      <c r="P1990" s="1" t="str">
        <f t="shared" si="592"/>
        <v>Y</v>
      </c>
      <c r="Q1990" s="1" t="str">
        <f t="shared" si="599"/>
        <v>A</v>
      </c>
    </row>
    <row r="1991" spans="1:17" x14ac:dyDescent="0.3">
      <c r="A1991" s="1" t="str">
        <f t="shared" si="603"/>
        <v>R2</v>
      </c>
      <c r="B1991" s="1" t="str">
        <f>"N428001"</f>
        <v>N428001</v>
      </c>
      <c r="C1991" s="1" t="str">
        <f>"전립선특이항원(PSA) 양성"</f>
        <v>전립선특이항원(PSA) 양성</v>
      </c>
      <c r="D1991" s="1" t="s">
        <v>551</v>
      </c>
      <c r="E1991" s="1" t="str">
        <f>""</f>
        <v/>
      </c>
      <c r="F1991" s="1" t="str">
        <f>""</f>
        <v/>
      </c>
      <c r="G1991" s="1" t="str">
        <f>""</f>
        <v/>
      </c>
      <c r="H1991" s="1" t="str">
        <f>""</f>
        <v/>
      </c>
      <c r="I1991" s="1" t="str">
        <f>""</f>
        <v/>
      </c>
      <c r="J1991" s="1" t="str">
        <f>""</f>
        <v/>
      </c>
      <c r="K1991" s="1" t="str">
        <f>""</f>
        <v/>
      </c>
      <c r="L1991" s="1" t="str">
        <f t="shared" si="601"/>
        <v>R</v>
      </c>
      <c r="M1991" s="1" t="str">
        <f>""</f>
        <v/>
      </c>
      <c r="N1991" s="1" t="str">
        <f t="shared" si="602"/>
        <v>Y</v>
      </c>
      <c r="O1991" s="1" t="str">
        <f t="shared" si="598"/>
        <v>Y</v>
      </c>
      <c r="P1991" s="1" t="str">
        <f t="shared" si="592"/>
        <v>Y</v>
      </c>
      <c r="Q1991" s="1" t="str">
        <f t="shared" si="599"/>
        <v>A</v>
      </c>
    </row>
    <row r="1992" spans="1:17" x14ac:dyDescent="0.3">
      <c r="A1992" s="1" t="str">
        <f t="shared" ref="A1992:A2005" si="604">"U"</f>
        <v>U</v>
      </c>
      <c r="B1992" s="1" t="str">
        <f>"AAB303"</f>
        <v>AAB303</v>
      </c>
      <c r="C1992" s="1" t="str">
        <f>"생물학적 노출지표 검사 미실시(기한 내 미실시)"</f>
        <v>생물학적 노출지표 검사 미실시(기한 내 미실시)</v>
      </c>
      <c r="D1992" s="1" t="str">
        <f>"생물학적 노출지표에 대한 검사를 기한 내에 실시하지 않아 건강상태에 대한 판정이 불가능합니다."</f>
        <v>생물학적 노출지표에 대한 검사를 기한 내에 실시하지 않아 건강상태에 대한 판정이 불가능합니다.</v>
      </c>
      <c r="E1992" s="1" t="str">
        <f>""</f>
        <v/>
      </c>
      <c r="F1992" s="1" t="str">
        <f>""</f>
        <v/>
      </c>
      <c r="G1992" s="1" t="str">
        <f>""</f>
        <v/>
      </c>
      <c r="H1992" s="1" t="str">
        <f>""</f>
        <v/>
      </c>
      <c r="I1992" s="1" t="str">
        <f>""</f>
        <v/>
      </c>
      <c r="J1992" s="1" t="str">
        <f t="shared" ref="J1992:K1994" si="605">"S01U"</f>
        <v>S01U</v>
      </c>
      <c r="K1992" s="1" t="str">
        <f t="shared" si="605"/>
        <v>S01U</v>
      </c>
      <c r="L1992" s="1" t="str">
        <f t="shared" si="601"/>
        <v>R</v>
      </c>
      <c r="M1992" s="1" t="str">
        <f>"T12"</f>
        <v>T12</v>
      </c>
      <c r="N1992" s="1" t="str">
        <f t="shared" si="602"/>
        <v>Y</v>
      </c>
      <c r="O1992" s="1" t="str">
        <f t="shared" si="598"/>
        <v>Y</v>
      </c>
      <c r="P1992" s="1" t="str">
        <f t="shared" si="592"/>
        <v>Y</v>
      </c>
      <c r="Q1992" s="1" t="str">
        <f t="shared" si="599"/>
        <v>A</v>
      </c>
    </row>
    <row r="1993" spans="1:17" x14ac:dyDescent="0.3">
      <c r="A1993" s="1" t="str">
        <f t="shared" si="604"/>
        <v>U</v>
      </c>
      <c r="B1993" s="1" t="str">
        <f>"BE1213"</f>
        <v>BE1213</v>
      </c>
      <c r="C1993" s="1" t="str">
        <f>"폐기능검사 미수검"</f>
        <v>폐기능검사 미수검</v>
      </c>
      <c r="D1993" s="1" t="str">
        <f>"폐기능검사를 받으세요."</f>
        <v>폐기능검사를 받으세요.</v>
      </c>
      <c r="E1993" s="1" t="str">
        <f>""</f>
        <v/>
      </c>
      <c r="F1993" s="1" t="str">
        <f>""</f>
        <v/>
      </c>
      <c r="G1993" s="1" t="str">
        <f>""</f>
        <v/>
      </c>
      <c r="H1993" s="1" t="str">
        <f>""</f>
        <v/>
      </c>
      <c r="I1993" s="1" t="str">
        <f>""</f>
        <v/>
      </c>
      <c r="J1993" s="1" t="str">
        <f t="shared" si="605"/>
        <v>S01U</v>
      </c>
      <c r="K1993" s="1" t="str">
        <f t="shared" si="605"/>
        <v>S01U</v>
      </c>
      <c r="L1993" s="1" t="str">
        <f t="shared" si="601"/>
        <v>R</v>
      </c>
      <c r="M1993" s="1" t="str">
        <f>"T16"</f>
        <v>T16</v>
      </c>
      <c r="N1993" s="1" t="str">
        <f t="shared" si="602"/>
        <v>Y</v>
      </c>
      <c r="O1993" s="1" t="str">
        <f t="shared" si="598"/>
        <v>Y</v>
      </c>
      <c r="P1993" s="1" t="str">
        <f t="shared" si="592"/>
        <v>Y</v>
      </c>
      <c r="Q1993" s="1" t="str">
        <f t="shared" si="599"/>
        <v>A</v>
      </c>
    </row>
    <row r="1994" spans="1:17" x14ac:dyDescent="0.3">
      <c r="A1994" s="1" t="str">
        <f t="shared" si="604"/>
        <v>U</v>
      </c>
      <c r="B1994" s="1" t="str">
        <f>"BEI210"</f>
        <v>BEI210</v>
      </c>
      <c r="C1994" s="1" t="str">
        <f>"요중 마뇨산 미수검"</f>
        <v>요중 마뇨산 미수검</v>
      </c>
      <c r="D1994" s="1" t="str">
        <f>"본 검사 실시를 바랍니다."</f>
        <v>본 검사 실시를 바랍니다.</v>
      </c>
      <c r="E1994" s="1" t="str">
        <f>""</f>
        <v/>
      </c>
      <c r="F1994" s="1" t="str">
        <f>""</f>
        <v/>
      </c>
      <c r="G1994" s="1" t="str">
        <f>""</f>
        <v/>
      </c>
      <c r="H1994" s="1" t="str">
        <f>"REL17"</f>
        <v>REL17</v>
      </c>
      <c r="I1994" s="1" t="str">
        <f>""</f>
        <v/>
      </c>
      <c r="J1994" s="1" t="str">
        <f t="shared" si="605"/>
        <v>S01U</v>
      </c>
      <c r="K1994" s="1" t="str">
        <f t="shared" si="605"/>
        <v>S01U</v>
      </c>
      <c r="L1994" s="1" t="str">
        <f t="shared" si="601"/>
        <v>R</v>
      </c>
      <c r="M1994" s="1" t="str">
        <f>""</f>
        <v/>
      </c>
      <c r="N1994" s="1" t="str">
        <f t="shared" si="602"/>
        <v>Y</v>
      </c>
      <c r="O1994" s="1" t="str">
        <f t="shared" si="598"/>
        <v>Y</v>
      </c>
      <c r="P1994" s="1" t="str">
        <f t="shared" ref="P1994:P2057" si="606">"Y"</f>
        <v>Y</v>
      </c>
      <c r="Q1994" s="1" t="str">
        <f t="shared" si="599"/>
        <v>A</v>
      </c>
    </row>
    <row r="1995" spans="1:17" x14ac:dyDescent="0.3">
      <c r="A1995" s="1" t="str">
        <f t="shared" si="604"/>
        <v>U</v>
      </c>
      <c r="B1995" s="1" t="str">
        <f>"GNWC03"</f>
        <v>GNWC03</v>
      </c>
      <c r="C1995" s="1" t="str">
        <f>"임신 기간 중 검진"</f>
        <v>임신 기간 중 검진</v>
      </c>
      <c r="D1995" s="1" t="s">
        <v>552</v>
      </c>
      <c r="E1995" s="1" t="str">
        <f>""</f>
        <v/>
      </c>
      <c r="F1995" s="1" t="str">
        <f>""</f>
        <v/>
      </c>
      <c r="G1995" s="1" t="str">
        <f>"DISE"</f>
        <v>DISE</v>
      </c>
      <c r="H1995" s="1" t="str">
        <f>"REL10"</f>
        <v>REL10</v>
      </c>
      <c r="I1995" s="1" t="str">
        <f>""</f>
        <v/>
      </c>
      <c r="J1995" s="1" t="str">
        <f>"C35C"</f>
        <v>C35C</v>
      </c>
      <c r="K1995" s="1" t="str">
        <f>"C35C"</f>
        <v>C35C</v>
      </c>
      <c r="L1995" s="1" t="str">
        <f t="shared" si="601"/>
        <v>R</v>
      </c>
      <c r="M1995" s="1" t="str">
        <f>"T03"</f>
        <v>T03</v>
      </c>
      <c r="N1995" s="1" t="str">
        <f t="shared" si="602"/>
        <v>Y</v>
      </c>
      <c r="O1995" s="1" t="str">
        <f t="shared" si="598"/>
        <v>Y</v>
      </c>
      <c r="P1995" s="1" t="str">
        <f t="shared" si="606"/>
        <v>Y</v>
      </c>
      <c r="Q1995" s="1" t="str">
        <f t="shared" si="599"/>
        <v>A</v>
      </c>
    </row>
    <row r="1996" spans="1:17" x14ac:dyDescent="0.3">
      <c r="A1996" s="1" t="str">
        <f t="shared" si="604"/>
        <v>U</v>
      </c>
      <c r="B1996" s="1" t="str">
        <f>"GNX011"</f>
        <v>GNX011</v>
      </c>
      <c r="C1996" s="1" t="str">
        <f>"미촬영"</f>
        <v>미촬영</v>
      </c>
      <c r="D1996" s="1" t="str">
        <f>"흉부방사선검사 미실시하였습니다."</f>
        <v>흉부방사선검사 미실시하였습니다.</v>
      </c>
      <c r="E1996" s="1" t="str">
        <f>""</f>
        <v/>
      </c>
      <c r="F1996" s="1" t="str">
        <f>""</f>
        <v/>
      </c>
      <c r="G1996" s="1" t="str">
        <f>"DISJ"</f>
        <v>DISJ</v>
      </c>
      <c r="H1996" s="1" t="str">
        <f>"REL02"</f>
        <v>REL02</v>
      </c>
      <c r="I1996" s="1" t="str">
        <f>""</f>
        <v/>
      </c>
      <c r="J1996" s="1" t="str">
        <f>"C40A"</f>
        <v>C40A</v>
      </c>
      <c r="K1996" s="1" t="str">
        <f>"C00A"</f>
        <v>C00A</v>
      </c>
      <c r="L1996" s="1" t="str">
        <f t="shared" si="601"/>
        <v>R</v>
      </c>
      <c r="M1996" s="1" t="str">
        <f>"T04"</f>
        <v>T04</v>
      </c>
      <c r="N1996" s="1" t="str">
        <f t="shared" si="602"/>
        <v>Y</v>
      </c>
      <c r="O1996" s="1" t="str">
        <f t="shared" si="598"/>
        <v>Y</v>
      </c>
      <c r="P1996" s="1" t="str">
        <f t="shared" si="606"/>
        <v>Y</v>
      </c>
      <c r="Q1996" s="1" t="str">
        <f t="shared" si="599"/>
        <v>A</v>
      </c>
    </row>
    <row r="1997" spans="1:17" x14ac:dyDescent="0.3">
      <c r="A1997" s="1" t="str">
        <f t="shared" si="604"/>
        <v>U</v>
      </c>
      <c r="B1997" s="1" t="str">
        <f>"GNX0111"</f>
        <v>GNX0111</v>
      </c>
      <c r="C1997" s="1" t="str">
        <f>"미촬영(임신)"</f>
        <v>미촬영(임신)</v>
      </c>
      <c r="D1997" s="1" t="str">
        <f>"임신 기간 중 검진으로 흉부방사선 검사 미실시합니다."</f>
        <v>임신 기간 중 검진으로 흉부방사선 검사 미실시합니다.</v>
      </c>
      <c r="E1997" s="1" t="str">
        <f>""</f>
        <v/>
      </c>
      <c r="F1997" s="1" t="str">
        <f>""</f>
        <v/>
      </c>
      <c r="G1997" s="1" t="str">
        <f>"DISJ"</f>
        <v>DISJ</v>
      </c>
      <c r="H1997" s="1" t="str">
        <f>"REL02"</f>
        <v>REL02</v>
      </c>
      <c r="I1997" s="1" t="str">
        <f>""</f>
        <v/>
      </c>
      <c r="J1997" s="1" t="str">
        <f>"S01U"</f>
        <v>S01U</v>
      </c>
      <c r="K1997" s="1" t="str">
        <f>"S01U"</f>
        <v>S01U</v>
      </c>
      <c r="L1997" s="1" t="str">
        <f t="shared" si="601"/>
        <v>R</v>
      </c>
      <c r="M1997" s="1" t="str">
        <f>"T04"</f>
        <v>T04</v>
      </c>
      <c r="N1997" s="1" t="str">
        <f t="shared" si="602"/>
        <v>Y</v>
      </c>
      <c r="O1997" s="1" t="str">
        <f t="shared" si="598"/>
        <v>Y</v>
      </c>
      <c r="P1997" s="1" t="str">
        <f t="shared" si="606"/>
        <v>Y</v>
      </c>
      <c r="Q1997" s="1" t="str">
        <f t="shared" si="599"/>
        <v>A</v>
      </c>
    </row>
    <row r="1998" spans="1:17" x14ac:dyDescent="0.3">
      <c r="A1998" s="1" t="str">
        <f t="shared" si="604"/>
        <v>U</v>
      </c>
      <c r="B1998" s="1" t="str">
        <f>"J0085"</f>
        <v>J0085</v>
      </c>
      <c r="C1998" s="1" t="str">
        <f>"(객담세포검사)검체불량"</f>
        <v>(객담세포검사)검체불량</v>
      </c>
      <c r="D1998" s="1" t="str">
        <f>"가래 채취가 잘못 되었기에 검사의 신뢰도가 떨어집니다"</f>
        <v>가래 채취가 잘못 되었기에 검사의 신뢰도가 떨어집니다</v>
      </c>
      <c r="E1998" s="1" t="str">
        <f>""</f>
        <v/>
      </c>
      <c r="F1998" s="1" t="str">
        <f>""</f>
        <v/>
      </c>
      <c r="G1998" s="1" t="str">
        <f>"DISJ"</f>
        <v>DISJ</v>
      </c>
      <c r="H1998" s="1" t="str">
        <f>"REL02"</f>
        <v>REL02</v>
      </c>
      <c r="I1998" s="1" t="str">
        <f>""</f>
        <v/>
      </c>
      <c r="J1998" s="1" t="str">
        <f>"S01U"</f>
        <v>S01U</v>
      </c>
      <c r="K1998" s="1" t="str">
        <f>"S01U"</f>
        <v>S01U</v>
      </c>
      <c r="L1998" s="1" t="str">
        <f t="shared" si="601"/>
        <v>R</v>
      </c>
      <c r="M1998" s="1" t="str">
        <f>"T04"</f>
        <v>T04</v>
      </c>
      <c r="N1998" s="1" t="str">
        <f t="shared" si="602"/>
        <v>Y</v>
      </c>
      <c r="O1998" s="1" t="str">
        <f t="shared" si="598"/>
        <v>Y</v>
      </c>
      <c r="P1998" s="1" t="str">
        <f t="shared" si="606"/>
        <v>Y</v>
      </c>
      <c r="Q1998" s="1" t="str">
        <f t="shared" si="599"/>
        <v>A</v>
      </c>
    </row>
    <row r="1999" spans="1:17" x14ac:dyDescent="0.3">
      <c r="A1999" s="1" t="str">
        <f t="shared" si="604"/>
        <v>U</v>
      </c>
      <c r="B1999" s="1" t="str">
        <f>"J0088"</f>
        <v>J0088</v>
      </c>
      <c r="C1999" s="1" t="str">
        <f>"(객담세포검사)기타"</f>
        <v>(객담세포검사)기타</v>
      </c>
      <c r="D1999" s="1" t="str">
        <f>"검사결과 확인을 요합니다."</f>
        <v>검사결과 확인을 요합니다.</v>
      </c>
      <c r="E1999" s="1" t="str">
        <f>""</f>
        <v/>
      </c>
      <c r="F1999" s="1" t="str">
        <f>""</f>
        <v/>
      </c>
      <c r="G1999" s="1" t="str">
        <f>"DISJ"</f>
        <v>DISJ</v>
      </c>
      <c r="H1999" s="1" t="str">
        <f>"REL02"</f>
        <v>REL02</v>
      </c>
      <c r="I1999" s="1" t="str">
        <f>""</f>
        <v/>
      </c>
      <c r="J1999" s="1" t="str">
        <f>"C30C"</f>
        <v>C30C</v>
      </c>
      <c r="K1999" s="1" t="str">
        <f>"C30C"</f>
        <v>C30C</v>
      </c>
      <c r="L1999" s="1" t="str">
        <f t="shared" si="601"/>
        <v>R</v>
      </c>
      <c r="M1999" s="1" t="str">
        <f>"T04"</f>
        <v>T04</v>
      </c>
      <c r="N1999" s="1" t="str">
        <f t="shared" si="602"/>
        <v>Y</v>
      </c>
      <c r="O1999" s="1" t="str">
        <f t="shared" si="598"/>
        <v>Y</v>
      </c>
      <c r="P1999" s="1" t="str">
        <f t="shared" si="606"/>
        <v>Y</v>
      </c>
      <c r="Q1999" s="1" t="str">
        <f t="shared" si="599"/>
        <v>A</v>
      </c>
    </row>
    <row r="2000" spans="1:17" x14ac:dyDescent="0.3">
      <c r="A2000" s="1" t="str">
        <f t="shared" si="604"/>
        <v>U</v>
      </c>
      <c r="B2000" s="1" t="str">
        <f>"J0100"</f>
        <v>J0100</v>
      </c>
      <c r="C2000" s="1" t="str">
        <f>"기타 방사선 이상"</f>
        <v>기타 방사선 이상</v>
      </c>
      <c r="D2000" s="1" t="str">
        <f>"소견확인하고 수정해주세요."</f>
        <v>소견확인하고 수정해주세요.</v>
      </c>
      <c r="E2000" s="1" t="str">
        <f>""</f>
        <v/>
      </c>
      <c r="F2000" s="1" t="str">
        <f>""</f>
        <v/>
      </c>
      <c r="G2000" s="1" t="str">
        <f>""</f>
        <v/>
      </c>
      <c r="H2000" s="1" t="str">
        <f>"REL00"</f>
        <v>REL00</v>
      </c>
      <c r="I2000" s="1" t="str">
        <f>""</f>
        <v/>
      </c>
      <c r="J2000" s="1" t="str">
        <f t="shared" ref="J2000:K2002" si="607">"S01U"</f>
        <v>S01U</v>
      </c>
      <c r="K2000" s="1" t="str">
        <f t="shared" si="607"/>
        <v>S01U</v>
      </c>
      <c r="L2000" s="1" t="str">
        <f t="shared" si="601"/>
        <v>R</v>
      </c>
      <c r="M2000" s="1" t="str">
        <f>""</f>
        <v/>
      </c>
      <c r="N2000" s="1" t="str">
        <f t="shared" si="602"/>
        <v>Y</v>
      </c>
      <c r="O2000" s="1" t="str">
        <f t="shared" ref="O2000:O2063" si="608">"Y"</f>
        <v>Y</v>
      </c>
      <c r="P2000" s="1" t="str">
        <f t="shared" si="606"/>
        <v>Y</v>
      </c>
      <c r="Q2000" s="1" t="str">
        <f t="shared" si="599"/>
        <v>A</v>
      </c>
    </row>
    <row r="2001" spans="1:17" x14ac:dyDescent="0.3">
      <c r="A2001" s="1" t="str">
        <f t="shared" si="604"/>
        <v>U</v>
      </c>
      <c r="B2001" s="1" t="str">
        <f>"J0319"</f>
        <v>J0319</v>
      </c>
      <c r="C2001" s="1" t="s">
        <v>553</v>
      </c>
      <c r="D2001" s="1" t="str">
        <f>"본검사 실시를 바랍니다."</f>
        <v>본검사 실시를 바랍니다.</v>
      </c>
      <c r="E2001" s="1" t="str">
        <f>""</f>
        <v/>
      </c>
      <c r="F2001" s="1" t="str">
        <f>""</f>
        <v/>
      </c>
      <c r="G2001" s="1" t="str">
        <f>""</f>
        <v/>
      </c>
      <c r="H2001" s="1" t="str">
        <f>""</f>
        <v/>
      </c>
      <c r="I2001" s="1" t="str">
        <f>""</f>
        <v/>
      </c>
      <c r="J2001" s="1" t="str">
        <f t="shared" si="607"/>
        <v>S01U</v>
      </c>
      <c r="K2001" s="1" t="str">
        <f t="shared" si="607"/>
        <v>S01U</v>
      </c>
      <c r="L2001" s="1" t="str">
        <f t="shared" si="601"/>
        <v>R</v>
      </c>
      <c r="M2001" s="1" t="str">
        <f>""</f>
        <v/>
      </c>
      <c r="N2001" s="1" t="str">
        <f t="shared" si="602"/>
        <v>Y</v>
      </c>
      <c r="O2001" s="1" t="str">
        <f t="shared" si="608"/>
        <v>Y</v>
      </c>
      <c r="P2001" s="1" t="str">
        <f t="shared" si="606"/>
        <v>Y</v>
      </c>
      <c r="Q2001" s="1" t="str">
        <f t="shared" si="599"/>
        <v>A</v>
      </c>
    </row>
    <row r="2002" spans="1:17" x14ac:dyDescent="0.3">
      <c r="A2002" s="1" t="str">
        <f t="shared" si="604"/>
        <v>U</v>
      </c>
      <c r="B2002" s="1" t="str">
        <f>"J0333"</f>
        <v>J0333</v>
      </c>
      <c r="C2002" s="1" t="str">
        <f>"칼복시혈색소 미수검"</f>
        <v>칼복시혈색소 미수검</v>
      </c>
      <c r="D2002" s="1" t="str">
        <f>"본검사 실시를 바랍니다."</f>
        <v>본검사 실시를 바랍니다.</v>
      </c>
      <c r="E2002" s="1" t="str">
        <f>""</f>
        <v/>
      </c>
      <c r="F2002" s="1" t="str">
        <f>""</f>
        <v/>
      </c>
      <c r="G2002" s="1" t="str">
        <f>""</f>
        <v/>
      </c>
      <c r="H2002" s="1" t="str">
        <f>"REL17"</f>
        <v>REL17</v>
      </c>
      <c r="I2002" s="1" t="str">
        <f>"N0148"</f>
        <v>N0148</v>
      </c>
      <c r="J2002" s="1" t="str">
        <f t="shared" si="607"/>
        <v>S01U</v>
      </c>
      <c r="K2002" s="1" t="str">
        <f t="shared" si="607"/>
        <v>S01U</v>
      </c>
      <c r="L2002" s="1" t="str">
        <f t="shared" si="601"/>
        <v>R</v>
      </c>
      <c r="M2002" s="1" t="str">
        <f>""</f>
        <v/>
      </c>
      <c r="N2002" s="1" t="str">
        <f t="shared" si="602"/>
        <v>Y</v>
      </c>
      <c r="O2002" s="1" t="str">
        <f t="shared" si="608"/>
        <v>Y</v>
      </c>
      <c r="P2002" s="1" t="str">
        <f t="shared" si="606"/>
        <v>Y</v>
      </c>
      <c r="Q2002" s="1" t="str">
        <f t="shared" ref="Q2002:Q2065" si="609">"A"</f>
        <v>A</v>
      </c>
    </row>
    <row r="2003" spans="1:17" x14ac:dyDescent="0.3">
      <c r="A2003" s="1" t="str">
        <f t="shared" si="604"/>
        <v>U</v>
      </c>
      <c r="B2003" s="1" t="str">
        <f>"J0355"</f>
        <v>J0355</v>
      </c>
      <c r="C2003" s="1" t="str">
        <f>"심박변이도 검사부정확"</f>
        <v>심박변이도 검사부정확</v>
      </c>
      <c r="D2003" s="1" t="str">
        <f>"정확한 심박변이도 검사가 이루어지지 못했으니 원하시면 다시 검사하시기 바랍니다."</f>
        <v>정확한 심박변이도 검사가 이루어지지 못했으니 원하시면 다시 검사하시기 바랍니다.</v>
      </c>
      <c r="E2003" s="1" t="str">
        <f>""</f>
        <v/>
      </c>
      <c r="F2003" s="1" t="str">
        <f>"PTM04"</f>
        <v>PTM04</v>
      </c>
      <c r="G2003" s="1" t="str">
        <f>""</f>
        <v/>
      </c>
      <c r="H2003" s="1" t="str">
        <f>"REL21"</f>
        <v>REL21</v>
      </c>
      <c r="I2003" s="1" t="str">
        <f>""</f>
        <v/>
      </c>
      <c r="J2003" s="1" t="str">
        <f>""</f>
        <v/>
      </c>
      <c r="K2003" s="1" t="str">
        <f>""</f>
        <v/>
      </c>
      <c r="L2003" s="1" t="str">
        <f t="shared" si="601"/>
        <v>R</v>
      </c>
      <c r="M2003" s="1" t="str">
        <f>"T06"</f>
        <v>T06</v>
      </c>
      <c r="N2003" s="1" t="str">
        <f t="shared" si="602"/>
        <v>Y</v>
      </c>
      <c r="O2003" s="1" t="str">
        <f t="shared" si="608"/>
        <v>Y</v>
      </c>
      <c r="P2003" s="1" t="str">
        <f t="shared" si="606"/>
        <v>Y</v>
      </c>
      <c r="Q2003" s="1" t="str">
        <f t="shared" si="609"/>
        <v>A</v>
      </c>
    </row>
    <row r="2004" spans="1:17" x14ac:dyDescent="0.3">
      <c r="A2004" s="1" t="str">
        <f t="shared" si="604"/>
        <v>U</v>
      </c>
      <c r="B2004" s="1" t="str">
        <f>"U000"</f>
        <v>U000</v>
      </c>
      <c r="C2004" s="1" t="str">
        <f>"2차 검사미검(판정불가)"</f>
        <v>2차 검사미검(판정불가)</v>
      </c>
      <c r="D2004" s="1" t="s">
        <v>554</v>
      </c>
      <c r="E2004" s="1" t="str">
        <f>""</f>
        <v/>
      </c>
      <c r="F2004" s="1" t="str">
        <f>""</f>
        <v/>
      </c>
      <c r="G2004" s="1" t="str">
        <f>""</f>
        <v/>
      </c>
      <c r="H2004" s="1" t="str">
        <f>""</f>
        <v/>
      </c>
      <c r="I2004" s="1" t="str">
        <f>""</f>
        <v/>
      </c>
      <c r="J2004" s="1" t="str">
        <f t="shared" ref="J2004:K2006" si="610">"S01U"</f>
        <v>S01U</v>
      </c>
      <c r="K2004" s="1" t="str">
        <f t="shared" si="610"/>
        <v>S01U</v>
      </c>
      <c r="L2004" s="1" t="str">
        <f t="shared" si="601"/>
        <v>R</v>
      </c>
      <c r="M2004" s="1" t="str">
        <f>""</f>
        <v/>
      </c>
      <c r="N2004" s="1" t="str">
        <f t="shared" si="602"/>
        <v>Y</v>
      </c>
      <c r="O2004" s="1" t="str">
        <f t="shared" si="608"/>
        <v>Y</v>
      </c>
      <c r="P2004" s="1" t="str">
        <f t="shared" si="606"/>
        <v>Y</v>
      </c>
      <c r="Q2004" s="1" t="str">
        <f t="shared" si="609"/>
        <v>A</v>
      </c>
    </row>
    <row r="2005" spans="1:17" x14ac:dyDescent="0.3">
      <c r="A2005" s="1" t="str">
        <f t="shared" si="604"/>
        <v>U</v>
      </c>
      <c r="B2005" s="1" t="str">
        <f>"U001"</f>
        <v>U001</v>
      </c>
      <c r="C2005" s="1" t="str">
        <f>"소변생체시료검사(BEI) 불가"</f>
        <v>소변생체시료검사(BEI) 불가</v>
      </c>
      <c r="D2005" s="1" t="s">
        <v>555</v>
      </c>
      <c r="E2005" s="1" t="str">
        <f>""</f>
        <v/>
      </c>
      <c r="F2005" s="1" t="str">
        <f>""</f>
        <v/>
      </c>
      <c r="G2005" s="1" t="str">
        <f>""</f>
        <v/>
      </c>
      <c r="H2005" s="1" t="str">
        <f>""</f>
        <v/>
      </c>
      <c r="I2005" s="1" t="str">
        <f>""</f>
        <v/>
      </c>
      <c r="J2005" s="1" t="str">
        <f t="shared" si="610"/>
        <v>S01U</v>
      </c>
      <c r="K2005" s="1" t="str">
        <f t="shared" si="610"/>
        <v>S01U</v>
      </c>
      <c r="L2005" s="1" t="str">
        <f t="shared" si="601"/>
        <v>R</v>
      </c>
      <c r="M2005" s="1" t="str">
        <f>""</f>
        <v/>
      </c>
      <c r="N2005" s="1" t="str">
        <f t="shared" si="602"/>
        <v>Y</v>
      </c>
      <c r="O2005" s="1" t="str">
        <f t="shared" si="608"/>
        <v>Y</v>
      </c>
      <c r="P2005" s="1" t="str">
        <f t="shared" si="606"/>
        <v>Y</v>
      </c>
      <c r="Q2005" s="1" t="str">
        <f t="shared" si="609"/>
        <v>A</v>
      </c>
    </row>
    <row r="2006" spans="1:17" x14ac:dyDescent="0.3">
      <c r="A2006" s="1" t="str">
        <f t="shared" ref="A2006:A2019" si="611">"Z"</f>
        <v>Z</v>
      </c>
      <c r="B2006" s="1" t="str">
        <f>"GNUFA"</f>
        <v>GNUFA</v>
      </c>
      <c r="C2006" s="1" t="str">
        <f>"검사 미실시"</f>
        <v>검사 미실시</v>
      </c>
      <c r="D2006" s="1" t="str">
        <f>"()등으로 인하여 검사 불가"</f>
        <v>()등으로 인하여 검사 불가</v>
      </c>
      <c r="E2006" s="1" t="str">
        <f>""</f>
        <v/>
      </c>
      <c r="F2006" s="1" t="str">
        <f>"PTM09"</f>
        <v>PTM09</v>
      </c>
      <c r="G2006" s="1" t="str">
        <f>""</f>
        <v/>
      </c>
      <c r="H2006" s="1" t="str">
        <f>"REL22"</f>
        <v>REL22</v>
      </c>
      <c r="I2006" s="1" t="str">
        <f>""</f>
        <v/>
      </c>
      <c r="J2006" s="1" t="str">
        <f t="shared" si="610"/>
        <v>S01U</v>
      </c>
      <c r="K2006" s="1" t="str">
        <f t="shared" si="610"/>
        <v>S01U</v>
      </c>
      <c r="L2006" s="1" t="str">
        <f t="shared" si="601"/>
        <v>R</v>
      </c>
      <c r="M2006" s="1" t="str">
        <f>""</f>
        <v/>
      </c>
      <c r="N2006" s="1" t="str">
        <f t="shared" si="602"/>
        <v>Y</v>
      </c>
      <c r="O2006" s="1" t="str">
        <f t="shared" si="608"/>
        <v>Y</v>
      </c>
      <c r="P2006" s="1" t="str">
        <f t="shared" si="606"/>
        <v>Y</v>
      </c>
      <c r="Q2006" s="1" t="str">
        <f t="shared" si="609"/>
        <v>A</v>
      </c>
    </row>
    <row r="2007" spans="1:17" x14ac:dyDescent="0.3">
      <c r="A2007" s="1" t="str">
        <f t="shared" si="611"/>
        <v>Z</v>
      </c>
      <c r="B2007" s="1" t="str">
        <f>"GNWC030"</f>
        <v>GNWC030</v>
      </c>
      <c r="C2007" s="1" t="str">
        <f>"임신 기간 중 검진"</f>
        <v>임신 기간 중 검진</v>
      </c>
      <c r="D2007" s="1" t="s">
        <v>556</v>
      </c>
      <c r="E2007" s="1" t="str">
        <f>""</f>
        <v/>
      </c>
      <c r="F2007" s="1" t="str">
        <f>""</f>
        <v/>
      </c>
      <c r="G2007" s="1" t="str">
        <f>"DISE"</f>
        <v>DISE</v>
      </c>
      <c r="H2007" s="1" t="str">
        <f>"REL10"</f>
        <v>REL10</v>
      </c>
      <c r="I2007" s="1" t="str">
        <f>""</f>
        <v/>
      </c>
      <c r="J2007" s="1" t="str">
        <f>"C35C"</f>
        <v>C35C</v>
      </c>
      <c r="K2007" s="1" t="str">
        <f>"C35C"</f>
        <v>C35C</v>
      </c>
      <c r="L2007" s="1" t="str">
        <f t="shared" si="601"/>
        <v>R</v>
      </c>
      <c r="M2007" s="1" t="str">
        <f>"T03"</f>
        <v>T03</v>
      </c>
      <c r="N2007" s="1" t="str">
        <f t="shared" si="602"/>
        <v>Y</v>
      </c>
      <c r="O2007" s="1" t="str">
        <f t="shared" si="608"/>
        <v>Y</v>
      </c>
      <c r="P2007" s="1" t="str">
        <f t="shared" si="606"/>
        <v>Y</v>
      </c>
      <c r="Q2007" s="1" t="str">
        <f t="shared" si="609"/>
        <v>A</v>
      </c>
    </row>
    <row r="2008" spans="1:17" x14ac:dyDescent="0.3">
      <c r="A2008" s="1" t="str">
        <f t="shared" si="611"/>
        <v>Z</v>
      </c>
      <c r="B2008" s="1" t="str">
        <f>"LA54001"</f>
        <v>LA54001</v>
      </c>
      <c r="C2008" s="1" t="str">
        <f>"메스암페타민 양성"</f>
        <v>메스암페타민 양성</v>
      </c>
      <c r="D2008" s="1" t="str">
        <f t="shared" ref="D2008:D2013" si="612">"마약 검사상 양성 소견입니다. 정밀검사가 필요합니다."</f>
        <v>마약 검사상 양성 소견입니다. 정밀검사가 필요합니다.</v>
      </c>
      <c r="E2008" s="1" t="str">
        <f>""</f>
        <v/>
      </c>
      <c r="F2008" s="1" t="str">
        <f>""</f>
        <v/>
      </c>
      <c r="G2008" s="1" t="str">
        <f>""</f>
        <v/>
      </c>
      <c r="H2008" s="1" t="str">
        <f t="shared" ref="H2008:H2015" si="613">"REL00"</f>
        <v>REL00</v>
      </c>
      <c r="I2008" s="1" t="str">
        <f>""</f>
        <v/>
      </c>
      <c r="J2008" s="1" t="str">
        <f>""</f>
        <v/>
      </c>
      <c r="K2008" s="1" t="str">
        <f>""</f>
        <v/>
      </c>
      <c r="L2008" s="1" t="str">
        <f t="shared" si="601"/>
        <v>R</v>
      </c>
      <c r="M2008" s="1" t="str">
        <f>""</f>
        <v/>
      </c>
      <c r="N2008" s="1" t="str">
        <f t="shared" si="602"/>
        <v>Y</v>
      </c>
      <c r="O2008" s="1" t="str">
        <f t="shared" si="608"/>
        <v>Y</v>
      </c>
      <c r="P2008" s="1" t="str">
        <f t="shared" si="606"/>
        <v>Y</v>
      </c>
      <c r="Q2008" s="1" t="str">
        <f t="shared" si="609"/>
        <v>A</v>
      </c>
    </row>
    <row r="2009" spans="1:17" x14ac:dyDescent="0.3">
      <c r="A2009" s="1" t="str">
        <f t="shared" si="611"/>
        <v>Z</v>
      </c>
      <c r="B2009" s="1" t="str">
        <f>"LA54002"</f>
        <v>LA54002</v>
      </c>
      <c r="C2009" s="1" t="str">
        <f>"마리화나 양성"</f>
        <v>마리화나 양성</v>
      </c>
      <c r="D2009" s="1" t="str">
        <f t="shared" si="612"/>
        <v>마약 검사상 양성 소견입니다. 정밀검사가 필요합니다.</v>
      </c>
      <c r="E2009" s="1" t="str">
        <f>""</f>
        <v/>
      </c>
      <c r="F2009" s="1" t="str">
        <f>""</f>
        <v/>
      </c>
      <c r="G2009" s="1" t="str">
        <f>""</f>
        <v/>
      </c>
      <c r="H2009" s="1" t="str">
        <f t="shared" si="613"/>
        <v>REL00</v>
      </c>
      <c r="I2009" s="1" t="str">
        <f>""</f>
        <v/>
      </c>
      <c r="J2009" s="1" t="str">
        <f>""</f>
        <v/>
      </c>
      <c r="K2009" s="1" t="str">
        <f>""</f>
        <v/>
      </c>
      <c r="L2009" s="1" t="str">
        <f t="shared" si="601"/>
        <v>R</v>
      </c>
      <c r="M2009" s="1" t="str">
        <f>""</f>
        <v/>
      </c>
      <c r="N2009" s="1" t="str">
        <f t="shared" si="602"/>
        <v>Y</v>
      </c>
      <c r="O2009" s="1" t="str">
        <f t="shared" si="608"/>
        <v>Y</v>
      </c>
      <c r="P2009" s="1" t="str">
        <f t="shared" si="606"/>
        <v>Y</v>
      </c>
      <c r="Q2009" s="1" t="str">
        <f t="shared" si="609"/>
        <v>A</v>
      </c>
    </row>
    <row r="2010" spans="1:17" x14ac:dyDescent="0.3">
      <c r="A2010" s="1" t="str">
        <f t="shared" si="611"/>
        <v>Z</v>
      </c>
      <c r="B2010" s="1" t="str">
        <f>"LA54003"</f>
        <v>LA54003</v>
      </c>
      <c r="C2010" s="1" t="str">
        <f>"모르핀 양성"</f>
        <v>모르핀 양성</v>
      </c>
      <c r="D2010" s="1" t="str">
        <f t="shared" si="612"/>
        <v>마약 검사상 양성 소견입니다. 정밀검사가 필요합니다.</v>
      </c>
      <c r="E2010" s="1" t="str">
        <f>""</f>
        <v/>
      </c>
      <c r="F2010" s="1" t="str">
        <f>""</f>
        <v/>
      </c>
      <c r="G2010" s="1" t="str">
        <f>""</f>
        <v/>
      </c>
      <c r="H2010" s="1" t="str">
        <f t="shared" si="613"/>
        <v>REL00</v>
      </c>
      <c r="I2010" s="1" t="str">
        <f>""</f>
        <v/>
      </c>
      <c r="J2010" s="1" t="str">
        <f>""</f>
        <v/>
      </c>
      <c r="K2010" s="1" t="str">
        <f>""</f>
        <v/>
      </c>
      <c r="L2010" s="1" t="str">
        <f t="shared" si="601"/>
        <v>R</v>
      </c>
      <c r="M2010" s="1" t="str">
        <f>""</f>
        <v/>
      </c>
      <c r="N2010" s="1" t="str">
        <f t="shared" si="602"/>
        <v>Y</v>
      </c>
      <c r="O2010" s="1" t="str">
        <f t="shared" si="608"/>
        <v>Y</v>
      </c>
      <c r="P2010" s="1" t="str">
        <f t="shared" si="606"/>
        <v>Y</v>
      </c>
      <c r="Q2010" s="1" t="str">
        <f t="shared" si="609"/>
        <v>A</v>
      </c>
    </row>
    <row r="2011" spans="1:17" x14ac:dyDescent="0.3">
      <c r="A2011" s="1" t="str">
        <f t="shared" si="611"/>
        <v>Z</v>
      </c>
      <c r="B2011" s="1" t="str">
        <f>"LA54004"</f>
        <v>LA54004</v>
      </c>
      <c r="C2011" s="1" t="str">
        <f>"케타민 양성"</f>
        <v>케타민 양성</v>
      </c>
      <c r="D2011" s="1" t="str">
        <f t="shared" si="612"/>
        <v>마약 검사상 양성 소견입니다. 정밀검사가 필요합니다.</v>
      </c>
      <c r="E2011" s="1" t="str">
        <f>""</f>
        <v/>
      </c>
      <c r="F2011" s="1" t="str">
        <f>""</f>
        <v/>
      </c>
      <c r="G2011" s="1" t="str">
        <f>""</f>
        <v/>
      </c>
      <c r="H2011" s="1" t="str">
        <f t="shared" si="613"/>
        <v>REL00</v>
      </c>
      <c r="I2011" s="1" t="str">
        <f>""</f>
        <v/>
      </c>
      <c r="J2011" s="1" t="str">
        <f>""</f>
        <v/>
      </c>
      <c r="K2011" s="1" t="str">
        <f>""</f>
        <v/>
      </c>
      <c r="L2011" s="1" t="str">
        <f t="shared" si="601"/>
        <v>R</v>
      </c>
      <c r="M2011" s="1" t="str">
        <f>""</f>
        <v/>
      </c>
      <c r="N2011" s="1" t="str">
        <f t="shared" si="602"/>
        <v>Y</v>
      </c>
      <c r="O2011" s="1" t="str">
        <f t="shared" si="608"/>
        <v>Y</v>
      </c>
      <c r="P2011" s="1" t="str">
        <f t="shared" si="606"/>
        <v>Y</v>
      </c>
      <c r="Q2011" s="1" t="str">
        <f t="shared" si="609"/>
        <v>A</v>
      </c>
    </row>
    <row r="2012" spans="1:17" x14ac:dyDescent="0.3">
      <c r="A2012" s="1" t="str">
        <f t="shared" si="611"/>
        <v>Z</v>
      </c>
      <c r="B2012" s="1" t="str">
        <f>"LA54005"</f>
        <v>LA54005</v>
      </c>
      <c r="C2012" s="1" t="str">
        <f>"코카인 양성"</f>
        <v>코카인 양성</v>
      </c>
      <c r="D2012" s="1" t="str">
        <f t="shared" si="612"/>
        <v>마약 검사상 양성 소견입니다. 정밀검사가 필요합니다.</v>
      </c>
      <c r="E2012" s="1" t="str">
        <f>""</f>
        <v/>
      </c>
      <c r="F2012" s="1" t="str">
        <f>""</f>
        <v/>
      </c>
      <c r="G2012" s="1" t="str">
        <f>""</f>
        <v/>
      </c>
      <c r="H2012" s="1" t="str">
        <f t="shared" si="613"/>
        <v>REL00</v>
      </c>
      <c r="I2012" s="1" t="str">
        <f>""</f>
        <v/>
      </c>
      <c r="J2012" s="1" t="str">
        <f>""</f>
        <v/>
      </c>
      <c r="K2012" s="1" t="str">
        <f>""</f>
        <v/>
      </c>
      <c r="L2012" s="1" t="str">
        <f t="shared" si="601"/>
        <v>R</v>
      </c>
      <c r="M2012" s="1" t="str">
        <f>""</f>
        <v/>
      </c>
      <c r="N2012" s="1" t="str">
        <f t="shared" si="602"/>
        <v>Y</v>
      </c>
      <c r="O2012" s="1" t="str">
        <f t="shared" si="608"/>
        <v>Y</v>
      </c>
      <c r="P2012" s="1" t="str">
        <f t="shared" si="606"/>
        <v>Y</v>
      </c>
      <c r="Q2012" s="1" t="str">
        <f t="shared" si="609"/>
        <v>A</v>
      </c>
    </row>
    <row r="2013" spans="1:17" x14ac:dyDescent="0.3">
      <c r="A2013" s="1" t="str">
        <f t="shared" si="611"/>
        <v>Z</v>
      </c>
      <c r="B2013" s="1" t="str">
        <f>"LA54006"</f>
        <v>LA54006</v>
      </c>
      <c r="C2013" s="1" t="str">
        <f>"엑스터시 양성"</f>
        <v>엑스터시 양성</v>
      </c>
      <c r="D2013" s="1" t="str">
        <f t="shared" si="612"/>
        <v>마약 검사상 양성 소견입니다. 정밀검사가 필요합니다.</v>
      </c>
      <c r="E2013" s="1" t="str">
        <f>""</f>
        <v/>
      </c>
      <c r="F2013" s="1" t="str">
        <f>""</f>
        <v/>
      </c>
      <c r="G2013" s="1" t="str">
        <f>""</f>
        <v/>
      </c>
      <c r="H2013" s="1" t="str">
        <f t="shared" si="613"/>
        <v>REL00</v>
      </c>
      <c r="I2013" s="1" t="str">
        <f>""</f>
        <v/>
      </c>
      <c r="J2013" s="1" t="str">
        <f>""</f>
        <v/>
      </c>
      <c r="K2013" s="1" t="str">
        <f>""</f>
        <v/>
      </c>
      <c r="L2013" s="1" t="str">
        <f t="shared" si="601"/>
        <v>R</v>
      </c>
      <c r="M2013" s="1" t="str">
        <f>""</f>
        <v/>
      </c>
      <c r="N2013" s="1" t="str">
        <f t="shared" si="602"/>
        <v>Y</v>
      </c>
      <c r="O2013" s="1" t="str">
        <f t="shared" si="608"/>
        <v>Y</v>
      </c>
      <c r="P2013" s="1" t="str">
        <f t="shared" si="606"/>
        <v>Y</v>
      </c>
      <c r="Q2013" s="1" t="str">
        <f t="shared" si="609"/>
        <v>A</v>
      </c>
    </row>
    <row r="2014" spans="1:17" x14ac:dyDescent="0.3">
      <c r="A2014" s="1" t="str">
        <f t="shared" si="611"/>
        <v>Z</v>
      </c>
      <c r="B2014" s="1" t="str">
        <f>"M0114"</f>
        <v>M0114</v>
      </c>
      <c r="C2014" s="1" t="str">
        <f>"TBPE (양성)"</f>
        <v>TBPE (양성)</v>
      </c>
      <c r="D2014" s="1" t="str">
        <f>"TBPE 마약 검사상 양성 소견입니다. 상담 후 2차 검사를 받으세요."</f>
        <v>TBPE 마약 검사상 양성 소견입니다. 상담 후 2차 검사를 받으세요.</v>
      </c>
      <c r="E2014" s="1" t="str">
        <f>""</f>
        <v/>
      </c>
      <c r="F2014" s="1" t="str">
        <f>""</f>
        <v/>
      </c>
      <c r="G2014" s="1" t="str">
        <f>""</f>
        <v/>
      </c>
      <c r="H2014" s="1" t="str">
        <f t="shared" si="613"/>
        <v>REL00</v>
      </c>
      <c r="I2014" s="1" t="str">
        <f>"P0969"</f>
        <v>P0969</v>
      </c>
      <c r="J2014" s="1" t="str">
        <f>""</f>
        <v/>
      </c>
      <c r="K2014" s="1" t="str">
        <f>""</f>
        <v/>
      </c>
      <c r="L2014" s="1" t="str">
        <f t="shared" si="601"/>
        <v>R</v>
      </c>
      <c r="M2014" s="1" t="str">
        <f>""</f>
        <v/>
      </c>
      <c r="N2014" s="1" t="str">
        <f t="shared" si="602"/>
        <v>Y</v>
      </c>
      <c r="O2014" s="1" t="str">
        <f t="shared" si="608"/>
        <v>Y</v>
      </c>
      <c r="P2014" s="1" t="str">
        <f t="shared" si="606"/>
        <v>Y</v>
      </c>
      <c r="Q2014" s="1" t="str">
        <f t="shared" si="609"/>
        <v>A</v>
      </c>
    </row>
    <row r="2015" spans="1:17" x14ac:dyDescent="0.3">
      <c r="A2015" s="1" t="str">
        <f t="shared" si="611"/>
        <v>Z</v>
      </c>
      <c r="B2015" s="1" t="str">
        <f>"M0115"</f>
        <v>M0115</v>
      </c>
      <c r="C2015" s="1" t="str">
        <f>"TBPE (음성)"</f>
        <v>TBPE (음성)</v>
      </c>
      <c r="D2015" s="1" t="str">
        <f>"TBPE 마약 검사상 음성 소견입니다."</f>
        <v>TBPE 마약 검사상 음성 소견입니다.</v>
      </c>
      <c r="E2015" s="1" t="str">
        <f>""</f>
        <v/>
      </c>
      <c r="F2015" s="1" t="str">
        <f>""</f>
        <v/>
      </c>
      <c r="G2015" s="1" t="str">
        <f>""</f>
        <v/>
      </c>
      <c r="H2015" s="1" t="str">
        <f t="shared" si="613"/>
        <v>REL00</v>
      </c>
      <c r="I2015" s="1" t="str">
        <f>"P0969"</f>
        <v>P0969</v>
      </c>
      <c r="J2015" s="1" t="str">
        <f>""</f>
        <v/>
      </c>
      <c r="K2015" s="1" t="str">
        <f>""</f>
        <v/>
      </c>
      <c r="L2015" s="1" t="str">
        <f t="shared" si="601"/>
        <v>R</v>
      </c>
      <c r="M2015" s="1" t="str">
        <f>""</f>
        <v/>
      </c>
      <c r="N2015" s="1" t="str">
        <f t="shared" si="602"/>
        <v>Y</v>
      </c>
      <c r="O2015" s="1" t="str">
        <f t="shared" si="608"/>
        <v>Y</v>
      </c>
      <c r="P2015" s="1" t="str">
        <f t="shared" si="606"/>
        <v>Y</v>
      </c>
      <c r="Q2015" s="1" t="str">
        <f t="shared" si="609"/>
        <v>A</v>
      </c>
    </row>
    <row r="2016" spans="1:17" x14ac:dyDescent="0.3">
      <c r="A2016" s="1" t="str">
        <f t="shared" si="611"/>
        <v>Z</v>
      </c>
      <c r="B2016" s="1" t="str">
        <f>"PBS002"</f>
        <v>PBS002</v>
      </c>
      <c r="C2016" s="1" t="str">
        <f>"말초혈액도말검사 저색소성 소혈구성 빈혈"</f>
        <v>말초혈액도말검사 저색소성 소혈구성 빈혈</v>
      </c>
      <c r="D2016" s="1" t="s">
        <v>557</v>
      </c>
      <c r="E2016" s="1" t="str">
        <f>""</f>
        <v/>
      </c>
      <c r="F2016" s="1" t="str">
        <f>""</f>
        <v/>
      </c>
      <c r="G2016" s="1" t="str">
        <f>""</f>
        <v/>
      </c>
      <c r="H2016" s="1" t="str">
        <f>"REL12"</f>
        <v>REL12</v>
      </c>
      <c r="I2016" s="1" t="str">
        <f>""</f>
        <v/>
      </c>
      <c r="J2016" s="1" t="str">
        <f>""</f>
        <v/>
      </c>
      <c r="K2016" s="1" t="str">
        <f>""</f>
        <v/>
      </c>
      <c r="L2016" s="1" t="str">
        <f t="shared" si="601"/>
        <v>R</v>
      </c>
      <c r="M2016" s="1" t="str">
        <f>"T01"</f>
        <v>T01</v>
      </c>
      <c r="N2016" s="1" t="str">
        <f t="shared" si="602"/>
        <v>Y</v>
      </c>
      <c r="O2016" s="1" t="str">
        <f t="shared" si="608"/>
        <v>Y</v>
      </c>
      <c r="P2016" s="1" t="str">
        <f t="shared" si="606"/>
        <v>Y</v>
      </c>
      <c r="Q2016" s="1" t="str">
        <f t="shared" si="609"/>
        <v>A</v>
      </c>
    </row>
    <row r="2017" spans="1:17" x14ac:dyDescent="0.3">
      <c r="A2017" s="1" t="str">
        <f t="shared" si="611"/>
        <v>Z</v>
      </c>
      <c r="B2017" s="1" t="str">
        <f>"TUL505"</f>
        <v>TUL505</v>
      </c>
      <c r="C2017" s="1" t="str">
        <f>"흉부영상 미촬영"</f>
        <v>흉부영상 미촬영</v>
      </c>
      <c r="D2017" s="1" t="str">
        <f>"흉부방사선 촬영 요합니다."</f>
        <v>흉부방사선 촬영 요합니다.</v>
      </c>
      <c r="E2017" s="1" t="str">
        <f>""</f>
        <v/>
      </c>
      <c r="F2017" s="1" t="str">
        <f>""</f>
        <v/>
      </c>
      <c r="G2017" s="1" t="str">
        <f>""</f>
        <v/>
      </c>
      <c r="H2017" s="1" t="str">
        <f>""</f>
        <v/>
      </c>
      <c r="I2017" s="1" t="str">
        <f>""</f>
        <v/>
      </c>
      <c r="J2017" s="1" t="str">
        <f>""</f>
        <v/>
      </c>
      <c r="K2017" s="1" t="str">
        <f>""</f>
        <v/>
      </c>
      <c r="L2017" s="1" t="str">
        <f t="shared" si="601"/>
        <v>R</v>
      </c>
      <c r="M2017" s="1" t="str">
        <f>""</f>
        <v/>
      </c>
      <c r="N2017" s="1" t="str">
        <f t="shared" si="602"/>
        <v>Y</v>
      </c>
      <c r="O2017" s="1" t="str">
        <f t="shared" si="608"/>
        <v>Y</v>
      </c>
      <c r="P2017" s="1" t="str">
        <f t="shared" si="606"/>
        <v>Y</v>
      </c>
      <c r="Q2017" s="1" t="str">
        <f t="shared" si="609"/>
        <v>A</v>
      </c>
    </row>
    <row r="2018" spans="1:17" x14ac:dyDescent="0.3">
      <c r="A2018" s="1" t="str">
        <f t="shared" si="611"/>
        <v>Z</v>
      </c>
      <c r="B2018" s="1" t="str">
        <f>"TUL505H"</f>
        <v>TUL505H</v>
      </c>
      <c r="C2018" s="1" t="str">
        <f>"흉부영상 미촬영"</f>
        <v>흉부영상 미촬영</v>
      </c>
      <c r="D2018" s="1" t="str">
        <f>"흉부방사선 촬영 요합니다."</f>
        <v>흉부방사선 촬영 요합니다.</v>
      </c>
      <c r="E2018" s="1" t="str">
        <f>""</f>
        <v/>
      </c>
      <c r="F2018" s="1" t="str">
        <f>""</f>
        <v/>
      </c>
      <c r="G2018" s="1" t="str">
        <f>""</f>
        <v/>
      </c>
      <c r="H2018" s="1" t="str">
        <f>""</f>
        <v/>
      </c>
      <c r="I2018" s="1" t="str">
        <f>""</f>
        <v/>
      </c>
      <c r="J2018" s="1" t="str">
        <f>""</f>
        <v/>
      </c>
      <c r="K2018" s="1" t="str">
        <f>""</f>
        <v/>
      </c>
      <c r="L2018" s="1" t="str">
        <f t="shared" si="601"/>
        <v>R</v>
      </c>
      <c r="M2018" s="1" t="str">
        <f>""</f>
        <v/>
      </c>
      <c r="N2018" s="1" t="str">
        <f t="shared" si="602"/>
        <v>Y</v>
      </c>
      <c r="O2018" s="1" t="str">
        <f t="shared" si="608"/>
        <v>Y</v>
      </c>
      <c r="P2018" s="1" t="str">
        <f t="shared" si="606"/>
        <v>Y</v>
      </c>
      <c r="Q2018" s="1" t="str">
        <f t="shared" si="609"/>
        <v>A</v>
      </c>
    </row>
    <row r="2019" spans="1:17" x14ac:dyDescent="0.3">
      <c r="A2019" s="1" t="str">
        <f t="shared" si="611"/>
        <v>Z</v>
      </c>
      <c r="B2019" s="1" t="str">
        <f>"ZZZZZ1"</f>
        <v>ZZZZZ1</v>
      </c>
      <c r="C2019" s="1" t="str">
        <f>"결과수치 입력이상 의심"</f>
        <v>결과수치 입력이상 의심</v>
      </c>
      <c r="D2019" s="1" t="str">
        <f>"결과값이 정상범위를 크게 벗어났습니다. 입력의 오류가 아닌지 확인하시기 바랍니다."</f>
        <v>결과값이 정상범위를 크게 벗어났습니다. 입력의 오류가 아닌지 확인하시기 바랍니다.</v>
      </c>
      <c r="E2019" s="1" t="str">
        <f>""</f>
        <v/>
      </c>
      <c r="F2019" s="1" t="str">
        <f>""</f>
        <v/>
      </c>
      <c r="G2019" s="1" t="str">
        <f>""</f>
        <v/>
      </c>
      <c r="H2019" s="1" t="str">
        <f>""</f>
        <v/>
      </c>
      <c r="I2019" s="1" t="str">
        <f>""</f>
        <v/>
      </c>
      <c r="J2019" s="1" t="str">
        <f>""</f>
        <v/>
      </c>
      <c r="K2019" s="1" t="str">
        <f>""</f>
        <v/>
      </c>
      <c r="L2019" s="1" t="str">
        <f t="shared" si="601"/>
        <v>R</v>
      </c>
      <c r="M2019" s="1" t="str">
        <f>""</f>
        <v/>
      </c>
      <c r="N2019" s="1" t="str">
        <f t="shared" si="602"/>
        <v>Y</v>
      </c>
      <c r="O2019" s="1" t="str">
        <f t="shared" si="608"/>
        <v>Y</v>
      </c>
      <c r="P2019" s="1" t="str">
        <f t="shared" si="606"/>
        <v>Y</v>
      </c>
      <c r="Q2019" s="1" t="str">
        <f t="shared" si="609"/>
        <v>A</v>
      </c>
    </row>
    <row r="2020" spans="1:17" x14ac:dyDescent="0.3">
      <c r="A2020" s="1" t="str">
        <f t="shared" ref="A2020:A2029" si="614">"ZA"</f>
        <v>ZA</v>
      </c>
      <c r="B2020" s="1" t="str">
        <f>"AUS001"</f>
        <v>AUS001</v>
      </c>
      <c r="C2020" s="1" t="str">
        <f>"복부초음파상 정상"</f>
        <v>복부초음파상 정상</v>
      </c>
      <c r="D2020" s="1" t="str">
        <f>"복부초음파 검사상 특이소견은 없습니다."</f>
        <v>복부초음파 검사상 특이소견은 없습니다.</v>
      </c>
      <c r="E2020" s="1" t="str">
        <f t="shared" ref="E2020:E2025" si="615">"WOK01"</f>
        <v>WOK01</v>
      </c>
      <c r="F2020" s="1" t="str">
        <f>""</f>
        <v/>
      </c>
      <c r="G2020" s="1" t="str">
        <f>"DISK"</f>
        <v>DISK</v>
      </c>
      <c r="H2020" s="1" t="str">
        <f>""</f>
        <v/>
      </c>
      <c r="I2020" s="1" t="str">
        <f>""</f>
        <v/>
      </c>
      <c r="J2020" s="1" t="str">
        <f>"C41A"</f>
        <v>C41A</v>
      </c>
      <c r="K2020" s="1" t="str">
        <f>"C41A"</f>
        <v>C41A</v>
      </c>
      <c r="L2020" s="1" t="str">
        <f t="shared" si="601"/>
        <v>R</v>
      </c>
      <c r="M2020" s="1" t="str">
        <f>""</f>
        <v/>
      </c>
      <c r="N2020" s="1" t="str">
        <f t="shared" si="602"/>
        <v>Y</v>
      </c>
      <c r="O2020" s="1" t="str">
        <f t="shared" si="608"/>
        <v>Y</v>
      </c>
      <c r="P2020" s="1" t="str">
        <f t="shared" si="606"/>
        <v>Y</v>
      </c>
      <c r="Q2020" s="1" t="str">
        <f t="shared" si="609"/>
        <v>A</v>
      </c>
    </row>
    <row r="2021" spans="1:17" x14ac:dyDescent="0.3">
      <c r="A2021" s="1" t="str">
        <f t="shared" si="614"/>
        <v>ZA</v>
      </c>
      <c r="B2021" s="1" t="str">
        <f>"J0337"</f>
        <v>J0337</v>
      </c>
      <c r="C2021" s="1" t="str">
        <f>"대장내시경검사상 정상"</f>
        <v>대장내시경검사상 정상</v>
      </c>
      <c r="D2021" s="1" t="str">
        <f>"대장내시경 검사 결과 정상입니다."</f>
        <v>대장내시경 검사 결과 정상입니다.</v>
      </c>
      <c r="E2021" s="1" t="str">
        <f t="shared" si="615"/>
        <v>WOK01</v>
      </c>
      <c r="F2021" s="1" t="str">
        <f>""</f>
        <v/>
      </c>
      <c r="G2021" s="1" t="str">
        <f>""</f>
        <v/>
      </c>
      <c r="H2021" s="1" t="str">
        <f>"REL33"</f>
        <v>REL33</v>
      </c>
      <c r="I2021" s="1" t="str">
        <f>""</f>
        <v/>
      </c>
      <c r="J2021" s="1" t="str">
        <f>""</f>
        <v/>
      </c>
      <c r="K2021" s="1" t="str">
        <f>""</f>
        <v/>
      </c>
      <c r="L2021" s="1" t="str">
        <f t="shared" si="601"/>
        <v>R</v>
      </c>
      <c r="M2021" s="1" t="str">
        <f>""</f>
        <v/>
      </c>
      <c r="N2021" s="1" t="str">
        <f t="shared" si="602"/>
        <v>Y</v>
      </c>
      <c r="O2021" s="1" t="str">
        <f t="shared" si="608"/>
        <v>Y</v>
      </c>
      <c r="P2021" s="1" t="str">
        <f t="shared" si="606"/>
        <v>Y</v>
      </c>
      <c r="Q2021" s="1" t="str">
        <f t="shared" si="609"/>
        <v>A</v>
      </c>
    </row>
    <row r="2022" spans="1:17" x14ac:dyDescent="0.3">
      <c r="A2022" s="1" t="str">
        <f t="shared" si="614"/>
        <v>ZA</v>
      </c>
      <c r="B2022" s="1" t="str">
        <f>"J0338"</f>
        <v>J0338</v>
      </c>
      <c r="C2022" s="1" t="str">
        <f>"정상이나 장청소 불량"</f>
        <v>정상이나 장청소 불량</v>
      </c>
      <c r="D2022" s="1" t="str">
        <f>"대장내시경 검사는 남아있는 대변으로 인해 일부 불완전한 검사였습니다. 하지만 관찰된 한도 내에서는 정상이었습니다."</f>
        <v>대장내시경 검사는 남아있는 대변으로 인해 일부 불완전한 검사였습니다. 하지만 관찰된 한도 내에서는 정상이었습니다.</v>
      </c>
      <c r="E2022" s="1" t="str">
        <f t="shared" si="615"/>
        <v>WOK01</v>
      </c>
      <c r="F2022" s="1" t="str">
        <f>""</f>
        <v/>
      </c>
      <c r="G2022" s="1" t="str">
        <f>""</f>
        <v/>
      </c>
      <c r="H2022" s="1" t="str">
        <f>"REL33"</f>
        <v>REL33</v>
      </c>
      <c r="I2022" s="1" t="str">
        <f>""</f>
        <v/>
      </c>
      <c r="J2022" s="1" t="str">
        <f>""</f>
        <v/>
      </c>
      <c r="K2022" s="1" t="str">
        <f>""</f>
        <v/>
      </c>
      <c r="L2022" s="1" t="str">
        <f t="shared" si="601"/>
        <v>R</v>
      </c>
      <c r="M2022" s="1" t="str">
        <f>""</f>
        <v/>
      </c>
      <c r="N2022" s="1" t="str">
        <f t="shared" si="602"/>
        <v>Y</v>
      </c>
      <c r="O2022" s="1" t="str">
        <f t="shared" si="608"/>
        <v>Y</v>
      </c>
      <c r="P2022" s="1" t="str">
        <f t="shared" si="606"/>
        <v>Y</v>
      </c>
      <c r="Q2022" s="1" t="str">
        <f t="shared" si="609"/>
        <v>A</v>
      </c>
    </row>
    <row r="2023" spans="1:17" x14ac:dyDescent="0.3">
      <c r="A2023" s="1" t="str">
        <f t="shared" si="614"/>
        <v>ZA</v>
      </c>
      <c r="B2023" s="1" t="str">
        <f>"J0360"</f>
        <v>J0360</v>
      </c>
      <c r="C2023" s="1" t="str">
        <f>"정상"</f>
        <v>정상</v>
      </c>
      <c r="D2023" s="1" t="str">
        <f>"위내시경검사는 정상입니다."</f>
        <v>위내시경검사는 정상입니다.</v>
      </c>
      <c r="E2023" s="1" t="str">
        <f t="shared" si="615"/>
        <v>WOK01</v>
      </c>
      <c r="F2023" s="1" t="str">
        <f>""</f>
        <v/>
      </c>
      <c r="G2023" s="1" t="str">
        <f>""</f>
        <v/>
      </c>
      <c r="H2023" s="1" t="str">
        <f>"REL33"</f>
        <v>REL33</v>
      </c>
      <c r="I2023" s="1" t="str">
        <f>""</f>
        <v/>
      </c>
      <c r="J2023" s="1" t="str">
        <f>""</f>
        <v/>
      </c>
      <c r="K2023" s="1" t="str">
        <f>""</f>
        <v/>
      </c>
      <c r="L2023" s="1" t="str">
        <f t="shared" si="601"/>
        <v>R</v>
      </c>
      <c r="M2023" s="1" t="str">
        <f>""</f>
        <v/>
      </c>
      <c r="N2023" s="1" t="str">
        <f t="shared" si="602"/>
        <v>Y</v>
      </c>
      <c r="O2023" s="1" t="str">
        <f t="shared" si="608"/>
        <v>Y</v>
      </c>
      <c r="P2023" s="1" t="str">
        <f t="shared" si="606"/>
        <v>Y</v>
      </c>
      <c r="Q2023" s="1" t="str">
        <f t="shared" si="609"/>
        <v>A</v>
      </c>
    </row>
    <row r="2024" spans="1:17" x14ac:dyDescent="0.3">
      <c r="A2024" s="1" t="str">
        <f t="shared" si="614"/>
        <v>ZA</v>
      </c>
      <c r="B2024" s="1" t="str">
        <f>"J0366"</f>
        <v>J0366</v>
      </c>
      <c r="C2024" s="1" t="str">
        <f>"상복부초음파검사 정상"</f>
        <v>상복부초음파검사 정상</v>
      </c>
      <c r="D2024" s="1" t="str">
        <f>"복부 초음파검사에서 정상 소견입니다. 정기적인 검진을 받으세요."</f>
        <v>복부 초음파검사에서 정상 소견입니다. 정기적인 검진을 받으세요.</v>
      </c>
      <c r="E2024" s="1" t="str">
        <f t="shared" si="615"/>
        <v>WOK01</v>
      </c>
      <c r="F2024" s="1" t="str">
        <f>""</f>
        <v/>
      </c>
      <c r="G2024" s="1" t="str">
        <f>"DISK"</f>
        <v>DISK</v>
      </c>
      <c r="H2024" s="1" t="str">
        <f>"REL05"</f>
        <v>REL05</v>
      </c>
      <c r="I2024" s="1" t="str">
        <f>""</f>
        <v/>
      </c>
      <c r="J2024" s="1" t="str">
        <f>"C05A"</f>
        <v>C05A</v>
      </c>
      <c r="K2024" s="1" t="str">
        <f>"C05A"</f>
        <v>C05A</v>
      </c>
      <c r="L2024" s="1" t="str">
        <f t="shared" si="601"/>
        <v>R</v>
      </c>
      <c r="M2024" s="1" t="str">
        <f>""</f>
        <v/>
      </c>
      <c r="N2024" s="1" t="str">
        <f t="shared" si="602"/>
        <v>Y</v>
      </c>
      <c r="O2024" s="1" t="str">
        <f t="shared" si="608"/>
        <v>Y</v>
      </c>
      <c r="P2024" s="1" t="str">
        <f t="shared" si="606"/>
        <v>Y</v>
      </c>
      <c r="Q2024" s="1" t="str">
        <f t="shared" si="609"/>
        <v>A</v>
      </c>
    </row>
    <row r="2025" spans="1:17" x14ac:dyDescent="0.3">
      <c r="A2025" s="1" t="str">
        <f t="shared" si="614"/>
        <v>ZA</v>
      </c>
      <c r="B2025" s="1" t="str">
        <f>"J0367"</f>
        <v>J0367</v>
      </c>
      <c r="C2025" s="1" t="str">
        <f>"위내시경검사상 정상"</f>
        <v>위내시경검사상 정상</v>
      </c>
      <c r="D2025" s="1" t="str">
        <f>"위내시경 검사 결과 정상입니다."</f>
        <v>위내시경 검사 결과 정상입니다.</v>
      </c>
      <c r="E2025" s="1" t="str">
        <f t="shared" si="615"/>
        <v>WOK01</v>
      </c>
      <c r="F2025" s="1" t="str">
        <f>""</f>
        <v/>
      </c>
      <c r="G2025" s="1" t="str">
        <f>""</f>
        <v/>
      </c>
      <c r="H2025" s="1" t="str">
        <f>"REL33"</f>
        <v>REL33</v>
      </c>
      <c r="I2025" s="1" t="str">
        <f>""</f>
        <v/>
      </c>
      <c r="J2025" s="1" t="str">
        <f>""</f>
        <v/>
      </c>
      <c r="K2025" s="1" t="str">
        <f>""</f>
        <v/>
      </c>
      <c r="L2025" s="1" t="str">
        <f t="shared" si="601"/>
        <v>R</v>
      </c>
      <c r="M2025" s="1" t="str">
        <f>""</f>
        <v/>
      </c>
      <c r="N2025" s="1" t="str">
        <f t="shared" si="602"/>
        <v>Y</v>
      </c>
      <c r="O2025" s="1" t="str">
        <f t="shared" si="608"/>
        <v>Y</v>
      </c>
      <c r="P2025" s="1" t="str">
        <f t="shared" si="606"/>
        <v>Y</v>
      </c>
      <c r="Q2025" s="1" t="str">
        <f t="shared" si="609"/>
        <v>A</v>
      </c>
    </row>
    <row r="2026" spans="1:17" x14ac:dyDescent="0.3">
      <c r="A2026" s="1" t="str">
        <f t="shared" si="614"/>
        <v>ZA</v>
      </c>
      <c r="B2026" s="1" t="str">
        <f>"J0383"</f>
        <v>J0383</v>
      </c>
      <c r="C2026" s="1" t="str">
        <f>"갑상선 초음파 정상"</f>
        <v>갑상선 초음파 정상</v>
      </c>
      <c r="D2026" s="1" t="str">
        <f>"갑상선 초음파 검사에서 정상( 우엽 및 좌엽 ) 소견입니다."</f>
        <v>갑상선 초음파 검사에서 정상( 우엽 및 좌엽 ) 소견입니다.</v>
      </c>
      <c r="E2026" s="1" t="str">
        <f>""</f>
        <v/>
      </c>
      <c r="F2026" s="1" t="str">
        <f>""</f>
        <v/>
      </c>
      <c r="G2026" s="1" t="str">
        <f>""</f>
        <v/>
      </c>
      <c r="H2026" s="1" t="str">
        <f>""</f>
        <v/>
      </c>
      <c r="I2026" s="1" t="str">
        <f>""</f>
        <v/>
      </c>
      <c r="J2026" s="1" t="str">
        <f>""</f>
        <v/>
      </c>
      <c r="K2026" s="1" t="str">
        <f>""</f>
        <v/>
      </c>
      <c r="L2026" s="1" t="str">
        <f t="shared" si="601"/>
        <v>R</v>
      </c>
      <c r="M2026" s="1" t="str">
        <f>""</f>
        <v/>
      </c>
      <c r="N2026" s="1" t="str">
        <f t="shared" si="602"/>
        <v>Y</v>
      </c>
      <c r="O2026" s="1" t="str">
        <f t="shared" si="608"/>
        <v>Y</v>
      </c>
      <c r="P2026" s="1" t="str">
        <f t="shared" si="606"/>
        <v>Y</v>
      </c>
      <c r="Q2026" s="1" t="str">
        <f t="shared" si="609"/>
        <v>A</v>
      </c>
    </row>
    <row r="2027" spans="1:17" x14ac:dyDescent="0.3">
      <c r="A2027" s="1" t="str">
        <f t="shared" si="614"/>
        <v>ZA</v>
      </c>
      <c r="B2027" s="1" t="str">
        <f>"J0485"</f>
        <v>J0485</v>
      </c>
      <c r="C2027" s="1" t="str">
        <f>"유방초음파 정상"</f>
        <v>유방초음파 정상</v>
      </c>
      <c r="D2027" s="1" t="str">
        <f>"유방초음파 검사에서 양측 유방 및 겨드랑이 모두 특이사항이 없는 정상 소견입니다."</f>
        <v>유방초음파 검사에서 양측 유방 및 겨드랑이 모두 특이사항이 없는 정상 소견입니다.</v>
      </c>
      <c r="E2027" s="1" t="str">
        <f>""</f>
        <v/>
      </c>
      <c r="F2027" s="1" t="str">
        <f>""</f>
        <v/>
      </c>
      <c r="G2027" s="1" t="str">
        <f>""</f>
        <v/>
      </c>
      <c r="H2027" s="1" t="str">
        <f>""</f>
        <v/>
      </c>
      <c r="I2027" s="1" t="str">
        <f>""</f>
        <v/>
      </c>
      <c r="J2027" s="1" t="str">
        <f>""</f>
        <v/>
      </c>
      <c r="K2027" s="1" t="str">
        <f>""</f>
        <v/>
      </c>
      <c r="L2027" s="1" t="str">
        <f t="shared" si="601"/>
        <v>R</v>
      </c>
      <c r="M2027" s="1" t="str">
        <f>""</f>
        <v/>
      </c>
      <c r="N2027" s="1" t="str">
        <f t="shared" si="602"/>
        <v>Y</v>
      </c>
      <c r="O2027" s="1" t="str">
        <f t="shared" si="608"/>
        <v>Y</v>
      </c>
      <c r="P2027" s="1" t="str">
        <f t="shared" si="606"/>
        <v>Y</v>
      </c>
      <c r="Q2027" s="1" t="str">
        <f t="shared" si="609"/>
        <v>A</v>
      </c>
    </row>
    <row r="2028" spans="1:17" x14ac:dyDescent="0.3">
      <c r="A2028" s="1" t="str">
        <f t="shared" si="614"/>
        <v>ZA</v>
      </c>
      <c r="B2028" s="1" t="str">
        <f>"J0487"</f>
        <v>J0487</v>
      </c>
      <c r="C2028" s="1" t="str">
        <f>"유방 초음파 정상"</f>
        <v>유방 초음파 정상</v>
      </c>
      <c r="D2028" s="1" t="str">
        <f>"유방 초음파 검사 결과 정상 소견입니다. 정기적인 검진 받으세요."</f>
        <v>유방 초음파 검사 결과 정상 소견입니다. 정기적인 검진 받으세요.</v>
      </c>
      <c r="E2028" s="1" t="str">
        <f>""</f>
        <v/>
      </c>
      <c r="F2028" s="1" t="str">
        <f>""</f>
        <v/>
      </c>
      <c r="G2028" s="1" t="str">
        <f>""</f>
        <v/>
      </c>
      <c r="H2028" s="1" t="str">
        <f>"REL11"</f>
        <v>REL11</v>
      </c>
      <c r="I2028" s="1" t="str">
        <f>""</f>
        <v/>
      </c>
      <c r="J2028" s="1" t="str">
        <f>""</f>
        <v/>
      </c>
      <c r="K2028" s="1" t="str">
        <f>""</f>
        <v/>
      </c>
      <c r="L2028" s="1" t="str">
        <f t="shared" si="601"/>
        <v>R</v>
      </c>
      <c r="M2028" s="1" t="str">
        <f>"T07"</f>
        <v>T07</v>
      </c>
      <c r="N2028" s="1" t="str">
        <f t="shared" si="602"/>
        <v>Y</v>
      </c>
      <c r="O2028" s="1" t="str">
        <f t="shared" si="608"/>
        <v>Y</v>
      </c>
      <c r="P2028" s="1" t="str">
        <f t="shared" si="606"/>
        <v>Y</v>
      </c>
      <c r="Q2028" s="1" t="str">
        <f t="shared" si="609"/>
        <v>A</v>
      </c>
    </row>
    <row r="2029" spans="1:17" x14ac:dyDescent="0.3">
      <c r="A2029" s="1" t="str">
        <f t="shared" si="614"/>
        <v>ZA</v>
      </c>
      <c r="B2029" s="1" t="str">
        <f>"UGI101"</f>
        <v>UGI101</v>
      </c>
      <c r="C2029" s="1" t="str">
        <f>"위장조영검사상 정상"</f>
        <v>위장조영검사상 정상</v>
      </c>
      <c r="D2029" s="1" t="s">
        <v>558</v>
      </c>
      <c r="E2029" s="1" t="str">
        <f>""</f>
        <v/>
      </c>
      <c r="F2029" s="1" t="str">
        <f>""</f>
        <v/>
      </c>
      <c r="G2029" s="1" t="str">
        <f>""</f>
        <v/>
      </c>
      <c r="H2029" s="1" t="str">
        <f>""</f>
        <v/>
      </c>
      <c r="I2029" s="1" t="str">
        <f>""</f>
        <v/>
      </c>
      <c r="J2029" s="1" t="str">
        <f>""</f>
        <v/>
      </c>
      <c r="K2029" s="1" t="str">
        <f>""</f>
        <v/>
      </c>
      <c r="L2029" s="1" t="str">
        <f t="shared" si="601"/>
        <v>R</v>
      </c>
      <c r="M2029" s="1" t="str">
        <f>""</f>
        <v/>
      </c>
      <c r="N2029" s="1" t="str">
        <f t="shared" si="602"/>
        <v>Y</v>
      </c>
      <c r="O2029" s="1" t="str">
        <f t="shared" si="608"/>
        <v>Y</v>
      </c>
      <c r="P2029" s="1" t="str">
        <f t="shared" si="606"/>
        <v>Y</v>
      </c>
      <c r="Q2029" s="1" t="str">
        <f t="shared" si="609"/>
        <v>A</v>
      </c>
    </row>
    <row r="2030" spans="1:17" x14ac:dyDescent="0.3">
      <c r="A2030" s="1" t="str">
        <f t="shared" ref="A2030:A2039" si="616">"ZB"</f>
        <v>ZB</v>
      </c>
      <c r="B2030" s="1" t="str">
        <f>"AUS021"</f>
        <v>AUS021</v>
      </c>
      <c r="C2030" s="1" t="str">
        <f>"신장석회화"</f>
        <v>신장석회화</v>
      </c>
      <c r="D2030" s="1" t="str">
        <f>"복부초음파 검사상 신장석회화가 관찰됩니다. 신장석회화란 큰 의미가 있는 것은 아니고 쉽게 말해 상처 자국이라고 생각하시면 됩니다. 정기적인 추적검사 받으시기 바랍니다."</f>
        <v>복부초음파 검사상 신장석회화가 관찰됩니다. 신장석회화란 큰 의미가 있는 것은 아니고 쉽게 말해 상처 자국이라고 생각하시면 됩니다. 정기적인 추적검사 받으시기 바랍니다.</v>
      </c>
      <c r="E2030" s="1" t="str">
        <f>""</f>
        <v/>
      </c>
      <c r="F2030" s="1" t="str">
        <f>""</f>
        <v/>
      </c>
      <c r="G2030" s="1" t="str">
        <f>"DISN"</f>
        <v>DISN</v>
      </c>
      <c r="H2030" s="1" t="str">
        <f>""</f>
        <v/>
      </c>
      <c r="I2030" s="1" t="str">
        <f>""</f>
        <v/>
      </c>
      <c r="J2030" s="1" t="str">
        <f>"C44C"</f>
        <v>C44C</v>
      </c>
      <c r="K2030" s="1" t="str">
        <f>"C44C"</f>
        <v>C44C</v>
      </c>
      <c r="L2030" s="1" t="str">
        <f t="shared" si="601"/>
        <v>R</v>
      </c>
      <c r="M2030" s="1" t="str">
        <f>""</f>
        <v/>
      </c>
      <c r="N2030" s="1" t="str">
        <f t="shared" si="602"/>
        <v>Y</v>
      </c>
      <c r="O2030" s="1" t="str">
        <f t="shared" si="608"/>
        <v>Y</v>
      </c>
      <c r="P2030" s="1" t="str">
        <f t="shared" si="606"/>
        <v>Y</v>
      </c>
      <c r="Q2030" s="1" t="str">
        <f t="shared" si="609"/>
        <v>A</v>
      </c>
    </row>
    <row r="2031" spans="1:17" x14ac:dyDescent="0.3">
      <c r="A2031" s="1" t="str">
        <f t="shared" si="616"/>
        <v>ZB</v>
      </c>
      <c r="B2031" s="1" t="str">
        <f>"AUS022"</f>
        <v>AUS022</v>
      </c>
      <c r="C2031" s="1" t="str">
        <f>"중복요관"</f>
        <v>중복요관</v>
      </c>
      <c r="D2031" s="1" t="s">
        <v>559</v>
      </c>
      <c r="E2031" s="1" t="str">
        <f>""</f>
        <v/>
      </c>
      <c r="F2031" s="1" t="str">
        <f>""</f>
        <v/>
      </c>
      <c r="G2031" s="1" t="str">
        <f>"DISN"</f>
        <v>DISN</v>
      </c>
      <c r="H2031" s="1" t="str">
        <f>""</f>
        <v/>
      </c>
      <c r="I2031" s="1" t="str">
        <f>""</f>
        <v/>
      </c>
      <c r="J2031" s="1" t="str">
        <f>"C47A"</f>
        <v>C47A</v>
      </c>
      <c r="K2031" s="1" t="str">
        <f>"C47A"</f>
        <v>C47A</v>
      </c>
      <c r="L2031" s="1" t="str">
        <f t="shared" si="601"/>
        <v>R</v>
      </c>
      <c r="M2031" s="1" t="str">
        <f>""</f>
        <v/>
      </c>
      <c r="N2031" s="1" t="str">
        <f t="shared" si="602"/>
        <v>Y</v>
      </c>
      <c r="O2031" s="1" t="str">
        <f t="shared" si="608"/>
        <v>Y</v>
      </c>
      <c r="P2031" s="1" t="str">
        <f t="shared" si="606"/>
        <v>Y</v>
      </c>
      <c r="Q2031" s="1" t="str">
        <f t="shared" si="609"/>
        <v>A</v>
      </c>
    </row>
    <row r="2032" spans="1:17" x14ac:dyDescent="0.3">
      <c r="A2032" s="1" t="str">
        <f t="shared" si="616"/>
        <v>ZB</v>
      </c>
      <c r="B2032" s="1" t="str">
        <f>"AUS033"</f>
        <v>AUS033</v>
      </c>
      <c r="C2032" s="1" t="str">
        <f>"마제신"</f>
        <v>마제신</v>
      </c>
      <c r="D2032" s="1" t="s">
        <v>560</v>
      </c>
      <c r="E2032" s="1" t="str">
        <f>""</f>
        <v/>
      </c>
      <c r="F2032" s="1" t="str">
        <f>""</f>
        <v/>
      </c>
      <c r="G2032" s="1" t="str">
        <f>""</f>
        <v/>
      </c>
      <c r="H2032" s="1" t="str">
        <f>""</f>
        <v/>
      </c>
      <c r="I2032" s="1" t="str">
        <f>""</f>
        <v/>
      </c>
      <c r="J2032" s="1" t="str">
        <f>""</f>
        <v/>
      </c>
      <c r="K2032" s="1" t="str">
        <f>""</f>
        <v/>
      </c>
      <c r="L2032" s="1" t="str">
        <f t="shared" si="601"/>
        <v>R</v>
      </c>
      <c r="M2032" s="1" t="str">
        <f>""</f>
        <v/>
      </c>
      <c r="N2032" s="1" t="str">
        <f t="shared" si="602"/>
        <v>Y</v>
      </c>
      <c r="O2032" s="1" t="str">
        <f t="shared" si="608"/>
        <v>Y</v>
      </c>
      <c r="P2032" s="1" t="str">
        <f t="shared" si="606"/>
        <v>Y</v>
      </c>
      <c r="Q2032" s="1" t="str">
        <f t="shared" si="609"/>
        <v>A</v>
      </c>
    </row>
    <row r="2033" spans="1:17" x14ac:dyDescent="0.3">
      <c r="A2033" s="1" t="str">
        <f t="shared" si="616"/>
        <v>ZB</v>
      </c>
      <c r="B2033" s="1" t="str">
        <f>"GNTFT970"</f>
        <v>GNTFT970</v>
      </c>
      <c r="C2033" s="1" t="str">
        <f>"갑상선자극호르몬 경미 상승"</f>
        <v>갑상선자극호르몬 경미 상승</v>
      </c>
      <c r="D2033" s="1" t="s">
        <v>561</v>
      </c>
      <c r="E2033" s="1" t="str">
        <f>""</f>
        <v/>
      </c>
      <c r="F2033" s="1" t="str">
        <f>""</f>
        <v/>
      </c>
      <c r="G2033" s="1" t="str">
        <f>""</f>
        <v/>
      </c>
      <c r="H2033" s="1" t="str">
        <f>""</f>
        <v/>
      </c>
      <c r="I2033" s="1" t="str">
        <f>""</f>
        <v/>
      </c>
      <c r="J2033" s="1" t="str">
        <f>""</f>
        <v/>
      </c>
      <c r="K2033" s="1" t="str">
        <f>""</f>
        <v/>
      </c>
      <c r="L2033" s="1" t="str">
        <f t="shared" si="601"/>
        <v>R</v>
      </c>
      <c r="M2033" s="1" t="str">
        <f>""</f>
        <v/>
      </c>
      <c r="N2033" s="1" t="str">
        <f t="shared" si="602"/>
        <v>Y</v>
      </c>
      <c r="O2033" s="1" t="str">
        <f t="shared" si="608"/>
        <v>Y</v>
      </c>
      <c r="P2033" s="1" t="str">
        <f t="shared" si="606"/>
        <v>Y</v>
      </c>
      <c r="Q2033" s="1" t="str">
        <f t="shared" si="609"/>
        <v>A</v>
      </c>
    </row>
    <row r="2034" spans="1:17" x14ac:dyDescent="0.3">
      <c r="A2034" s="1" t="str">
        <f t="shared" si="616"/>
        <v>ZB</v>
      </c>
      <c r="B2034" s="1" t="str">
        <f>"J0379"</f>
        <v>J0379</v>
      </c>
      <c r="C2034" s="1" t="str">
        <f>"위장조영검사상 식도용종의심"</f>
        <v>위장조영검사상 식도용종의심</v>
      </c>
      <c r="D2034" s="1" t="str">
        <f>"위장조영검사에서 식도 용종이 의심됩니다. 확진을 위하여 의료기관을 방문하시어 위내시경검사를 받으시기 바랍니다."</f>
        <v>위장조영검사에서 식도 용종이 의심됩니다. 확진을 위하여 의료기관을 방문하시어 위내시경검사를 받으시기 바랍니다.</v>
      </c>
      <c r="E2034" s="1" t="str">
        <f>""</f>
        <v/>
      </c>
      <c r="F2034" s="1" t="str">
        <f>""</f>
        <v/>
      </c>
      <c r="G2034" s="1" t="str">
        <f>"DISI"</f>
        <v>DISI</v>
      </c>
      <c r="H2034" s="1" t="str">
        <f>""</f>
        <v/>
      </c>
      <c r="I2034" s="1" t="str">
        <f>""</f>
        <v/>
      </c>
      <c r="J2034" s="1" t="str">
        <f>""</f>
        <v/>
      </c>
      <c r="K2034" s="1" t="str">
        <f>""</f>
        <v/>
      </c>
      <c r="L2034" s="1" t="str">
        <f t="shared" si="601"/>
        <v>R</v>
      </c>
      <c r="M2034" s="1" t="str">
        <f>""</f>
        <v/>
      </c>
      <c r="N2034" s="1" t="str">
        <f t="shared" si="602"/>
        <v>Y</v>
      </c>
      <c r="O2034" s="1" t="str">
        <f t="shared" si="608"/>
        <v>Y</v>
      </c>
      <c r="P2034" s="1" t="str">
        <f t="shared" si="606"/>
        <v>Y</v>
      </c>
      <c r="Q2034" s="1" t="str">
        <f t="shared" si="609"/>
        <v>A</v>
      </c>
    </row>
    <row r="2035" spans="1:17" x14ac:dyDescent="0.3">
      <c r="A2035" s="1" t="str">
        <f t="shared" si="616"/>
        <v>ZB</v>
      </c>
      <c r="B2035" s="1" t="str">
        <f>"UGI201"</f>
        <v>UGI201</v>
      </c>
      <c r="C2035" s="1" t="str">
        <f>"위장조영검사상 폭포형 위"</f>
        <v>위장조영검사상 폭포형 위</v>
      </c>
      <c r="D2035" s="1" t="str">
        <f>"특이소견 아니나 소화불량등 위의 기능장애 일으킬 수 있습니다. 식사습관을 천천히 드세요."</f>
        <v>특이소견 아니나 소화불량등 위의 기능장애 일으킬 수 있습니다. 식사습관을 천천히 드세요.</v>
      </c>
      <c r="E2035" s="1" t="str">
        <f>""</f>
        <v/>
      </c>
      <c r="F2035" s="1" t="str">
        <f>""</f>
        <v/>
      </c>
      <c r="G2035" s="1" t="str">
        <f>""</f>
        <v/>
      </c>
      <c r="H2035" s="1" t="str">
        <f>""</f>
        <v/>
      </c>
      <c r="I2035" s="1" t="str">
        <f>""</f>
        <v/>
      </c>
      <c r="J2035" s="1" t="str">
        <f>""</f>
        <v/>
      </c>
      <c r="K2035" s="1" t="str">
        <f>""</f>
        <v/>
      </c>
      <c r="L2035" s="1" t="str">
        <f t="shared" si="601"/>
        <v>R</v>
      </c>
      <c r="M2035" s="1" t="str">
        <f>""</f>
        <v/>
      </c>
      <c r="N2035" s="1" t="str">
        <f t="shared" si="602"/>
        <v>Y</v>
      </c>
      <c r="O2035" s="1" t="str">
        <f t="shared" si="608"/>
        <v>Y</v>
      </c>
      <c r="P2035" s="1" t="str">
        <f t="shared" si="606"/>
        <v>Y</v>
      </c>
      <c r="Q2035" s="1" t="str">
        <f t="shared" si="609"/>
        <v>A</v>
      </c>
    </row>
    <row r="2036" spans="1:17" x14ac:dyDescent="0.3">
      <c r="A2036" s="1" t="str">
        <f t="shared" si="616"/>
        <v>ZB</v>
      </c>
      <c r="B2036" s="1" t="str">
        <f>"UGI202"</f>
        <v>UGI202</v>
      </c>
      <c r="C2036" s="1" t="str">
        <f>"위장조영검사상 위하수증의심"</f>
        <v>위장조영검사상 위하수증의심</v>
      </c>
      <c r="D2036" s="1" t="str">
        <f>"위하수증은 특이소견은 아니나 소화불량등 위의 기능장애를 일으킬 수 있습니다. 식사를 조금씩 자주 드시는게 좋습니다."</f>
        <v>위하수증은 특이소견은 아니나 소화불량등 위의 기능장애를 일으킬 수 있습니다. 식사를 조금씩 자주 드시는게 좋습니다.</v>
      </c>
      <c r="E2036" s="1" t="str">
        <f>""</f>
        <v/>
      </c>
      <c r="F2036" s="1" t="str">
        <f>""</f>
        <v/>
      </c>
      <c r="G2036" s="1" t="str">
        <f>""</f>
        <v/>
      </c>
      <c r="H2036" s="1" t="str">
        <f>""</f>
        <v/>
      </c>
      <c r="I2036" s="1" t="str">
        <f>""</f>
        <v/>
      </c>
      <c r="J2036" s="1" t="str">
        <f>""</f>
        <v/>
      </c>
      <c r="K2036" s="1" t="str">
        <f>""</f>
        <v/>
      </c>
      <c r="L2036" s="1" t="str">
        <f t="shared" si="601"/>
        <v>R</v>
      </c>
      <c r="M2036" s="1" t="str">
        <f>""</f>
        <v/>
      </c>
      <c r="N2036" s="1" t="str">
        <f t="shared" si="602"/>
        <v>Y</v>
      </c>
      <c r="O2036" s="1" t="str">
        <f t="shared" si="608"/>
        <v>Y</v>
      </c>
      <c r="P2036" s="1" t="str">
        <f t="shared" si="606"/>
        <v>Y</v>
      </c>
      <c r="Q2036" s="1" t="str">
        <f t="shared" si="609"/>
        <v>A</v>
      </c>
    </row>
    <row r="2037" spans="1:17" x14ac:dyDescent="0.3">
      <c r="A2037" s="1" t="str">
        <f t="shared" si="616"/>
        <v>ZB</v>
      </c>
      <c r="B2037" s="1" t="str">
        <f>"UGI301"</f>
        <v>UGI301</v>
      </c>
      <c r="C2037" s="1" t="str">
        <f>"위장조영검사상 십이지장게실"</f>
        <v>위장조영검사상 십이지장게실</v>
      </c>
      <c r="D2037" s="1" t="str">
        <f>"위장조영검사에서 십이지장 게실이 관찰됩니다. 십이지장 게실은 십이지장 벽이 밖으로 늘어난 것으로 특별한 치료는 필요하지 않습니다. 2년 후 정기검사 받으시기 바랍니다."</f>
        <v>위장조영검사에서 십이지장 게실이 관찰됩니다. 십이지장 게실은 십이지장 벽이 밖으로 늘어난 것으로 특별한 치료는 필요하지 않습니다. 2년 후 정기검사 받으시기 바랍니다.</v>
      </c>
      <c r="E2037" s="1" t="str">
        <f>""</f>
        <v/>
      </c>
      <c r="F2037" s="1" t="str">
        <f>""</f>
        <v/>
      </c>
      <c r="G2037" s="1" t="str">
        <f>""</f>
        <v/>
      </c>
      <c r="H2037" s="1" t="str">
        <f>""</f>
        <v/>
      </c>
      <c r="I2037" s="1" t="str">
        <f>""</f>
        <v/>
      </c>
      <c r="J2037" s="1" t="str">
        <f>""</f>
        <v/>
      </c>
      <c r="K2037" s="1" t="str">
        <f>""</f>
        <v/>
      </c>
      <c r="L2037" s="1" t="str">
        <f t="shared" si="601"/>
        <v>R</v>
      </c>
      <c r="M2037" s="1" t="str">
        <f>""</f>
        <v/>
      </c>
      <c r="N2037" s="1" t="str">
        <f t="shared" si="602"/>
        <v>Y</v>
      </c>
      <c r="O2037" s="1" t="str">
        <f t="shared" si="608"/>
        <v>Y</v>
      </c>
      <c r="P2037" s="1" t="str">
        <f t="shared" si="606"/>
        <v>Y</v>
      </c>
      <c r="Q2037" s="1" t="str">
        <f t="shared" si="609"/>
        <v>A</v>
      </c>
    </row>
    <row r="2038" spans="1:17" x14ac:dyDescent="0.3">
      <c r="A2038" s="1" t="str">
        <f t="shared" si="616"/>
        <v>ZB</v>
      </c>
      <c r="B2038" s="1" t="str">
        <f>"UGI302"</f>
        <v>UGI302</v>
      </c>
      <c r="C2038" s="1" t="str">
        <f>"위장조영검사상 위게실"</f>
        <v>위장조영검사상 위게실</v>
      </c>
      <c r="D2038" s="1" t="str">
        <f>"위장조영검사에서 위 게실이 관찰됩니다. 위 게실은 식도벽이 밖으로 늘어난 것으로 특별한 치료는 필요하지 않습니다. 음식물을 삼키는 데 특별한 문제가 없다면 2년 이내 정기검사 받으시기 바랍니다."</f>
        <v>위장조영검사에서 위 게실이 관찰됩니다. 위 게실은 식도벽이 밖으로 늘어난 것으로 특별한 치료는 필요하지 않습니다. 음식물을 삼키는 데 특별한 문제가 없다면 2년 이내 정기검사 받으시기 바랍니다.</v>
      </c>
      <c r="E2038" s="1" t="str">
        <f>""</f>
        <v/>
      </c>
      <c r="F2038" s="1" t="str">
        <f>""</f>
        <v/>
      </c>
      <c r="G2038" s="1" t="str">
        <f>""</f>
        <v/>
      </c>
      <c r="H2038" s="1" t="str">
        <f>""</f>
        <v/>
      </c>
      <c r="I2038" s="1" t="str">
        <f>""</f>
        <v/>
      </c>
      <c r="J2038" s="1" t="str">
        <f>""</f>
        <v/>
      </c>
      <c r="K2038" s="1" t="str">
        <f>""</f>
        <v/>
      </c>
      <c r="L2038" s="1" t="str">
        <f t="shared" si="601"/>
        <v>R</v>
      </c>
      <c r="M2038" s="1" t="str">
        <f>""</f>
        <v/>
      </c>
      <c r="N2038" s="1" t="str">
        <f t="shared" si="602"/>
        <v>Y</v>
      </c>
      <c r="O2038" s="1" t="str">
        <f t="shared" si="608"/>
        <v>Y</v>
      </c>
      <c r="P2038" s="1" t="str">
        <f t="shared" si="606"/>
        <v>Y</v>
      </c>
      <c r="Q2038" s="1" t="str">
        <f t="shared" si="609"/>
        <v>A</v>
      </c>
    </row>
    <row r="2039" spans="1:17" x14ac:dyDescent="0.3">
      <c r="A2039" s="1" t="str">
        <f t="shared" si="616"/>
        <v>ZB</v>
      </c>
      <c r="B2039" s="1" t="str">
        <f>"UGI308"</f>
        <v>UGI308</v>
      </c>
      <c r="C2039" s="1" t="str">
        <f>"위장조영검사상 식도게실"</f>
        <v>위장조영검사상 식도게실</v>
      </c>
      <c r="D2039" s="1" t="str">
        <f>"위장조영검사에서 식도 게실이 관찰됩니다. 식도 게실은 식도벽이 밖으로 늘어난 것으로 특별한 치료는 필요하지 않습니다. 음식물을 삼키는 데 특별한 문제가 없다면 2년 이내 정기검사 받으시기 바랍니다."</f>
        <v>위장조영검사에서 식도 게실이 관찰됩니다. 식도 게실은 식도벽이 밖으로 늘어난 것으로 특별한 치료는 필요하지 않습니다. 음식물을 삼키는 데 특별한 문제가 없다면 2년 이내 정기검사 받으시기 바랍니다.</v>
      </c>
      <c r="E2039" s="1" t="str">
        <f>""</f>
        <v/>
      </c>
      <c r="F2039" s="1" t="str">
        <f>""</f>
        <v/>
      </c>
      <c r="G2039" s="1" t="str">
        <f>""</f>
        <v/>
      </c>
      <c r="H2039" s="1" t="str">
        <f>""</f>
        <v/>
      </c>
      <c r="I2039" s="1" t="str">
        <f>""</f>
        <v/>
      </c>
      <c r="J2039" s="1" t="str">
        <f>""</f>
        <v/>
      </c>
      <c r="K2039" s="1" t="str">
        <f>""</f>
        <v/>
      </c>
      <c r="L2039" s="1" t="str">
        <f t="shared" si="601"/>
        <v>R</v>
      </c>
      <c r="M2039" s="1" t="str">
        <f>""</f>
        <v/>
      </c>
      <c r="N2039" s="1" t="str">
        <f t="shared" si="602"/>
        <v>Y</v>
      </c>
      <c r="O2039" s="1" t="str">
        <f t="shared" si="608"/>
        <v>Y</v>
      </c>
      <c r="P2039" s="1" t="str">
        <f t="shared" si="606"/>
        <v>Y</v>
      </c>
      <c r="Q2039" s="1" t="str">
        <f t="shared" si="609"/>
        <v>A</v>
      </c>
    </row>
    <row r="2040" spans="1:17" x14ac:dyDescent="0.3">
      <c r="A2040" s="1" t="str">
        <f t="shared" ref="A2040:A2103" si="617">"ZC"</f>
        <v>ZC</v>
      </c>
      <c r="B2040" s="1" t="str">
        <f>"AUS002"</f>
        <v>AUS002</v>
      </c>
      <c r="C2040" s="1" t="str">
        <f>"거친에코상"</f>
        <v>거친에코상</v>
      </c>
      <c r="D2040" s="1" t="s">
        <v>562</v>
      </c>
      <c r="E2040" s="1" t="str">
        <f>"WOK02"</f>
        <v>WOK02</v>
      </c>
      <c r="F2040" s="1" t="str">
        <f>""</f>
        <v/>
      </c>
      <c r="G2040" s="1" t="str">
        <f t="shared" ref="G2040:G2054" si="618">"DISK"</f>
        <v>DISK</v>
      </c>
      <c r="H2040" s="1" t="str">
        <f>"REL05"</f>
        <v>REL05</v>
      </c>
      <c r="I2040" s="1" t="str">
        <f>""</f>
        <v/>
      </c>
      <c r="J2040" s="1" t="str">
        <f t="shared" ref="J2040:K2054" si="619">"C41C"</f>
        <v>C41C</v>
      </c>
      <c r="K2040" s="1" t="str">
        <f t="shared" si="619"/>
        <v>C41C</v>
      </c>
      <c r="L2040" s="1" t="str">
        <f t="shared" ref="L2040:L2103" si="620">"R"</f>
        <v>R</v>
      </c>
      <c r="M2040" s="1" t="str">
        <f>"T02"</f>
        <v>T02</v>
      </c>
      <c r="N2040" s="1" t="str">
        <f t="shared" ref="N2040:N2103" si="621">"Y"</f>
        <v>Y</v>
      </c>
      <c r="O2040" s="1" t="str">
        <f t="shared" si="608"/>
        <v>Y</v>
      </c>
      <c r="P2040" s="1" t="str">
        <f t="shared" si="606"/>
        <v>Y</v>
      </c>
      <c r="Q2040" s="1" t="str">
        <f t="shared" si="609"/>
        <v>A</v>
      </c>
    </row>
    <row r="2041" spans="1:17" x14ac:dyDescent="0.3">
      <c r="A2041" s="1" t="str">
        <f t="shared" si="617"/>
        <v>ZC</v>
      </c>
      <c r="B2041" s="1" t="str">
        <f>"AUS003"</f>
        <v>AUS003</v>
      </c>
      <c r="C2041" s="1" t="str">
        <f>"간경화"</f>
        <v>간경화</v>
      </c>
      <c r="D2041" s="1" t="s">
        <v>563</v>
      </c>
      <c r="E2041" s="1" t="str">
        <f>""</f>
        <v/>
      </c>
      <c r="F2041" s="1" t="str">
        <f>""</f>
        <v/>
      </c>
      <c r="G2041" s="1" t="str">
        <f t="shared" si="618"/>
        <v>DISK</v>
      </c>
      <c r="H2041" s="1" t="str">
        <f>""</f>
        <v/>
      </c>
      <c r="I2041" s="1" t="str">
        <f>""</f>
        <v/>
      </c>
      <c r="J2041" s="1" t="str">
        <f t="shared" si="619"/>
        <v>C41C</v>
      </c>
      <c r="K2041" s="1" t="str">
        <f t="shared" si="619"/>
        <v>C41C</v>
      </c>
      <c r="L2041" s="1" t="str">
        <f t="shared" si="620"/>
        <v>R</v>
      </c>
      <c r="M2041" s="1" t="str">
        <f>""</f>
        <v/>
      </c>
      <c r="N2041" s="1" t="str">
        <f t="shared" si="621"/>
        <v>Y</v>
      </c>
      <c r="O2041" s="1" t="str">
        <f t="shared" si="608"/>
        <v>Y</v>
      </c>
      <c r="P2041" s="1" t="str">
        <f t="shared" si="606"/>
        <v>Y</v>
      </c>
      <c r="Q2041" s="1" t="str">
        <f t="shared" si="609"/>
        <v>A</v>
      </c>
    </row>
    <row r="2042" spans="1:17" x14ac:dyDescent="0.3">
      <c r="A2042" s="1" t="str">
        <f t="shared" si="617"/>
        <v>ZC</v>
      </c>
      <c r="B2042" s="1" t="str">
        <f>"AUS004"</f>
        <v>AUS004</v>
      </c>
      <c r="C2042" s="1" t="str">
        <f>"간낭종"</f>
        <v>간낭종</v>
      </c>
      <c r="D2042" s="1" t="str">
        <f>"복부초음파 검사상 간에 낭종(물혹)이 관찰됩니다. 간낭종은 대부분 증상이 없으며 특별한 치료가 필요 없습니다. 정기적인 추적검사 받으시기 바랍니다."</f>
        <v>복부초음파 검사상 간에 낭종(물혹)이 관찰됩니다. 간낭종은 대부분 증상이 없으며 특별한 치료가 필요 없습니다. 정기적인 추적검사 받으시기 바랍니다.</v>
      </c>
      <c r="E2042" s="1" t="str">
        <f>""</f>
        <v/>
      </c>
      <c r="F2042" s="1" t="str">
        <f>""</f>
        <v/>
      </c>
      <c r="G2042" s="1" t="str">
        <f t="shared" si="618"/>
        <v>DISK</v>
      </c>
      <c r="H2042" s="1" t="str">
        <f>""</f>
        <v/>
      </c>
      <c r="I2042" s="1" t="str">
        <f>""</f>
        <v/>
      </c>
      <c r="J2042" s="1" t="str">
        <f t="shared" si="619"/>
        <v>C41C</v>
      </c>
      <c r="K2042" s="1" t="str">
        <f t="shared" si="619"/>
        <v>C41C</v>
      </c>
      <c r="L2042" s="1" t="str">
        <f t="shared" si="620"/>
        <v>R</v>
      </c>
      <c r="M2042" s="1" t="str">
        <f>""</f>
        <v/>
      </c>
      <c r="N2042" s="1" t="str">
        <f t="shared" si="621"/>
        <v>Y</v>
      </c>
      <c r="O2042" s="1" t="str">
        <f t="shared" si="608"/>
        <v>Y</v>
      </c>
      <c r="P2042" s="1" t="str">
        <f t="shared" si="606"/>
        <v>Y</v>
      </c>
      <c r="Q2042" s="1" t="str">
        <f t="shared" si="609"/>
        <v>A</v>
      </c>
    </row>
    <row r="2043" spans="1:17" x14ac:dyDescent="0.3">
      <c r="A2043" s="1" t="str">
        <f t="shared" si="617"/>
        <v>ZC</v>
      </c>
      <c r="B2043" s="1" t="str">
        <f>"AUS005"</f>
        <v>AUS005</v>
      </c>
      <c r="C2043" s="1" t="str">
        <f>"지방간"</f>
        <v>지방간</v>
      </c>
      <c r="D2043" s="1" t="str">
        <f>"복부초음파 검사상 지방간이 관찰됩니다. 지방간은 간에 지방이 침착되어 발생하는 것으로 음주와 비만 등이 주요 원인입니다. 적절한 운동과 체중 조절 및 절주가 필요합니다."</f>
        <v>복부초음파 검사상 지방간이 관찰됩니다. 지방간은 간에 지방이 침착되어 발생하는 것으로 음주와 비만 등이 주요 원인입니다. 적절한 운동과 체중 조절 및 절주가 필요합니다.</v>
      </c>
      <c r="E2043" s="1" t="str">
        <f>""</f>
        <v/>
      </c>
      <c r="F2043" s="1" t="str">
        <f>""</f>
        <v/>
      </c>
      <c r="G2043" s="1" t="str">
        <f t="shared" si="618"/>
        <v>DISK</v>
      </c>
      <c r="H2043" s="1" t="str">
        <f>""</f>
        <v/>
      </c>
      <c r="I2043" s="1" t="str">
        <f>""</f>
        <v/>
      </c>
      <c r="J2043" s="1" t="str">
        <f t="shared" si="619"/>
        <v>C41C</v>
      </c>
      <c r="K2043" s="1" t="str">
        <f t="shared" si="619"/>
        <v>C41C</v>
      </c>
      <c r="L2043" s="1" t="str">
        <f t="shared" si="620"/>
        <v>R</v>
      </c>
      <c r="M2043" s="1" t="str">
        <f>""</f>
        <v/>
      </c>
      <c r="N2043" s="1" t="str">
        <f t="shared" si="621"/>
        <v>Y</v>
      </c>
      <c r="O2043" s="1" t="str">
        <f t="shared" si="608"/>
        <v>Y</v>
      </c>
      <c r="P2043" s="1" t="str">
        <f t="shared" si="606"/>
        <v>Y</v>
      </c>
      <c r="Q2043" s="1" t="str">
        <f t="shared" si="609"/>
        <v>A</v>
      </c>
    </row>
    <row r="2044" spans="1:17" x14ac:dyDescent="0.3">
      <c r="A2044" s="1" t="str">
        <f t="shared" si="617"/>
        <v>ZC</v>
      </c>
      <c r="B2044" s="1" t="str">
        <f>"AUS007"</f>
        <v>AUS007</v>
      </c>
      <c r="C2044" s="1" t="str">
        <f>"간내 석회화"</f>
        <v>간내 석회화</v>
      </c>
      <c r="D2044" s="1" t="s">
        <v>564</v>
      </c>
      <c r="E2044" s="1" t="str">
        <f>""</f>
        <v/>
      </c>
      <c r="F2044" s="1" t="str">
        <f>""</f>
        <v/>
      </c>
      <c r="G2044" s="1" t="str">
        <f t="shared" si="618"/>
        <v>DISK</v>
      </c>
      <c r="H2044" s="1" t="str">
        <f>""</f>
        <v/>
      </c>
      <c r="I2044" s="1" t="str">
        <f>""</f>
        <v/>
      </c>
      <c r="J2044" s="1" t="str">
        <f t="shared" si="619"/>
        <v>C41C</v>
      </c>
      <c r="K2044" s="1" t="str">
        <f t="shared" si="619"/>
        <v>C41C</v>
      </c>
      <c r="L2044" s="1" t="str">
        <f t="shared" si="620"/>
        <v>R</v>
      </c>
      <c r="M2044" s="1" t="str">
        <f>""</f>
        <v/>
      </c>
      <c r="N2044" s="1" t="str">
        <f t="shared" si="621"/>
        <v>Y</v>
      </c>
      <c r="O2044" s="1" t="str">
        <f t="shared" si="608"/>
        <v>Y</v>
      </c>
      <c r="P2044" s="1" t="str">
        <f t="shared" si="606"/>
        <v>Y</v>
      </c>
      <c r="Q2044" s="1" t="str">
        <f t="shared" si="609"/>
        <v>A</v>
      </c>
    </row>
    <row r="2045" spans="1:17" x14ac:dyDescent="0.3">
      <c r="A2045" s="1" t="str">
        <f t="shared" si="617"/>
        <v>ZC</v>
      </c>
      <c r="B2045" s="1" t="str">
        <f>"AUS008"</f>
        <v>AUS008</v>
      </c>
      <c r="C2045" s="1" t="str">
        <f>"간혈관종"</f>
        <v>간혈관종</v>
      </c>
      <c r="D2045" s="1" t="s">
        <v>565</v>
      </c>
      <c r="E2045" s="1" t="str">
        <f>""</f>
        <v/>
      </c>
      <c r="F2045" s="1" t="str">
        <f>""</f>
        <v/>
      </c>
      <c r="G2045" s="1" t="str">
        <f t="shared" si="618"/>
        <v>DISK</v>
      </c>
      <c r="H2045" s="1" t="str">
        <f>""</f>
        <v/>
      </c>
      <c r="I2045" s="1" t="str">
        <f>""</f>
        <v/>
      </c>
      <c r="J2045" s="1" t="str">
        <f t="shared" si="619"/>
        <v>C41C</v>
      </c>
      <c r="K2045" s="1" t="str">
        <f t="shared" si="619"/>
        <v>C41C</v>
      </c>
      <c r="L2045" s="1" t="str">
        <f t="shared" si="620"/>
        <v>R</v>
      </c>
      <c r="M2045" s="1" t="str">
        <f>""</f>
        <v/>
      </c>
      <c r="N2045" s="1" t="str">
        <f t="shared" si="621"/>
        <v>Y</v>
      </c>
      <c r="O2045" s="1" t="str">
        <f t="shared" si="608"/>
        <v>Y</v>
      </c>
      <c r="P2045" s="1" t="str">
        <f t="shared" si="606"/>
        <v>Y</v>
      </c>
      <c r="Q2045" s="1" t="str">
        <f t="shared" si="609"/>
        <v>A</v>
      </c>
    </row>
    <row r="2046" spans="1:17" x14ac:dyDescent="0.3">
      <c r="A2046" s="1" t="str">
        <f t="shared" si="617"/>
        <v>ZC</v>
      </c>
      <c r="B2046" s="1" t="str">
        <f>"AUS009"</f>
        <v>AUS009</v>
      </c>
      <c r="C2046" s="1" t="str">
        <f>"비장의 비대"</f>
        <v>비장의 비대</v>
      </c>
      <c r="D2046" s="1" t="s">
        <v>566</v>
      </c>
      <c r="E2046" s="1" t="str">
        <f>""</f>
        <v/>
      </c>
      <c r="F2046" s="1" t="str">
        <f>""</f>
        <v/>
      </c>
      <c r="G2046" s="1" t="str">
        <f t="shared" si="618"/>
        <v>DISK</v>
      </c>
      <c r="H2046" s="1" t="str">
        <f>""</f>
        <v/>
      </c>
      <c r="I2046" s="1" t="str">
        <f>""</f>
        <v/>
      </c>
      <c r="J2046" s="1" t="str">
        <f t="shared" si="619"/>
        <v>C41C</v>
      </c>
      <c r="K2046" s="1" t="str">
        <f t="shared" si="619"/>
        <v>C41C</v>
      </c>
      <c r="L2046" s="1" t="str">
        <f t="shared" si="620"/>
        <v>R</v>
      </c>
      <c r="M2046" s="1" t="str">
        <f>""</f>
        <v/>
      </c>
      <c r="N2046" s="1" t="str">
        <f t="shared" si="621"/>
        <v>Y</v>
      </c>
      <c r="O2046" s="1" t="str">
        <f t="shared" si="608"/>
        <v>Y</v>
      </c>
      <c r="P2046" s="1" t="str">
        <f t="shared" si="606"/>
        <v>Y</v>
      </c>
      <c r="Q2046" s="1" t="str">
        <f t="shared" si="609"/>
        <v>A</v>
      </c>
    </row>
    <row r="2047" spans="1:17" x14ac:dyDescent="0.3">
      <c r="A2047" s="1" t="str">
        <f t="shared" si="617"/>
        <v>ZC</v>
      </c>
      <c r="B2047" s="1" t="str">
        <f>"AUS010"</f>
        <v>AUS010</v>
      </c>
      <c r="C2047" s="1" t="str">
        <f>"담낭 담석"</f>
        <v>담낭 담석</v>
      </c>
      <c r="D2047" s="1" t="s">
        <v>567</v>
      </c>
      <c r="E2047" s="1" t="str">
        <f>""</f>
        <v/>
      </c>
      <c r="F2047" s="1" t="str">
        <f>""</f>
        <v/>
      </c>
      <c r="G2047" s="1" t="str">
        <f t="shared" si="618"/>
        <v>DISK</v>
      </c>
      <c r="H2047" s="1" t="str">
        <f>""</f>
        <v/>
      </c>
      <c r="I2047" s="1" t="str">
        <f>""</f>
        <v/>
      </c>
      <c r="J2047" s="1" t="str">
        <f t="shared" si="619"/>
        <v>C41C</v>
      </c>
      <c r="K2047" s="1" t="str">
        <f t="shared" si="619"/>
        <v>C41C</v>
      </c>
      <c r="L2047" s="1" t="str">
        <f t="shared" si="620"/>
        <v>R</v>
      </c>
      <c r="M2047" s="1" t="str">
        <f>""</f>
        <v/>
      </c>
      <c r="N2047" s="1" t="str">
        <f t="shared" si="621"/>
        <v>Y</v>
      </c>
      <c r="O2047" s="1" t="str">
        <f t="shared" si="608"/>
        <v>Y</v>
      </c>
      <c r="P2047" s="1" t="str">
        <f t="shared" si="606"/>
        <v>Y</v>
      </c>
      <c r="Q2047" s="1" t="str">
        <f t="shared" si="609"/>
        <v>A</v>
      </c>
    </row>
    <row r="2048" spans="1:17" x14ac:dyDescent="0.3">
      <c r="A2048" s="1" t="str">
        <f t="shared" si="617"/>
        <v>ZC</v>
      </c>
      <c r="B2048" s="1" t="str">
        <f>"AUS011"</f>
        <v>AUS011</v>
      </c>
      <c r="C2048" s="1" t="str">
        <f>"담낭내 용종"</f>
        <v>담낭내 용종</v>
      </c>
      <c r="D2048" s="1" t="s">
        <v>568</v>
      </c>
      <c r="E2048" s="1" t="str">
        <f>""</f>
        <v/>
      </c>
      <c r="F2048" s="1" t="str">
        <f>""</f>
        <v/>
      </c>
      <c r="G2048" s="1" t="str">
        <f t="shared" si="618"/>
        <v>DISK</v>
      </c>
      <c r="H2048" s="1" t="str">
        <f>""</f>
        <v/>
      </c>
      <c r="I2048" s="1" t="str">
        <f>""</f>
        <v/>
      </c>
      <c r="J2048" s="1" t="str">
        <f t="shared" si="619"/>
        <v>C41C</v>
      </c>
      <c r="K2048" s="1" t="str">
        <f t="shared" si="619"/>
        <v>C41C</v>
      </c>
      <c r="L2048" s="1" t="str">
        <f t="shared" si="620"/>
        <v>R</v>
      </c>
      <c r="M2048" s="1" t="str">
        <f>""</f>
        <v/>
      </c>
      <c r="N2048" s="1" t="str">
        <f t="shared" si="621"/>
        <v>Y</v>
      </c>
      <c r="O2048" s="1" t="str">
        <f t="shared" si="608"/>
        <v>Y</v>
      </c>
      <c r="P2048" s="1" t="str">
        <f t="shared" si="606"/>
        <v>Y</v>
      </c>
      <c r="Q2048" s="1" t="str">
        <f t="shared" si="609"/>
        <v>A</v>
      </c>
    </row>
    <row r="2049" spans="1:17" x14ac:dyDescent="0.3">
      <c r="A2049" s="1" t="str">
        <f t="shared" si="617"/>
        <v>ZC</v>
      </c>
      <c r="B2049" s="1" t="str">
        <f>"AUS011J"</f>
        <v>AUS011J</v>
      </c>
      <c r="C2049" s="1" t="str">
        <f>"담낭내 다발성 콜레스테롤 용종"</f>
        <v>담낭내 다발성 콜레스테롤 용종</v>
      </c>
      <c r="D2049" s="1" t="s">
        <v>569</v>
      </c>
      <c r="E2049" s="1" t="str">
        <f>""</f>
        <v/>
      </c>
      <c r="F2049" s="1" t="str">
        <f>""</f>
        <v/>
      </c>
      <c r="G2049" s="1" t="str">
        <f t="shared" si="618"/>
        <v>DISK</v>
      </c>
      <c r="H2049" s="1" t="str">
        <f>""</f>
        <v/>
      </c>
      <c r="I2049" s="1" t="str">
        <f>""</f>
        <v/>
      </c>
      <c r="J2049" s="1" t="str">
        <f t="shared" si="619"/>
        <v>C41C</v>
      </c>
      <c r="K2049" s="1" t="str">
        <f t="shared" si="619"/>
        <v>C41C</v>
      </c>
      <c r="L2049" s="1" t="str">
        <f t="shared" si="620"/>
        <v>R</v>
      </c>
      <c r="M2049" s="1" t="str">
        <f>""</f>
        <v/>
      </c>
      <c r="N2049" s="1" t="str">
        <f t="shared" si="621"/>
        <v>Y</v>
      </c>
      <c r="O2049" s="1" t="str">
        <f t="shared" si="608"/>
        <v>Y</v>
      </c>
      <c r="P2049" s="1" t="str">
        <f t="shared" si="606"/>
        <v>Y</v>
      </c>
      <c r="Q2049" s="1" t="str">
        <f t="shared" si="609"/>
        <v>A</v>
      </c>
    </row>
    <row r="2050" spans="1:17" x14ac:dyDescent="0.3">
      <c r="A2050" s="1" t="str">
        <f t="shared" si="617"/>
        <v>ZC</v>
      </c>
      <c r="B2050" s="1" t="str">
        <f>"AUS012"</f>
        <v>AUS012</v>
      </c>
      <c r="C2050" s="1" t="str">
        <f>"신장내 결석"</f>
        <v>신장내 결석</v>
      </c>
      <c r="D2050" s="1" t="s">
        <v>570</v>
      </c>
      <c r="E2050" s="1" t="str">
        <f>""</f>
        <v/>
      </c>
      <c r="F2050" s="1" t="str">
        <f>""</f>
        <v/>
      </c>
      <c r="G2050" s="1" t="str">
        <f t="shared" si="618"/>
        <v>DISK</v>
      </c>
      <c r="H2050" s="1" t="str">
        <f>""</f>
        <v/>
      </c>
      <c r="I2050" s="1" t="str">
        <f>""</f>
        <v/>
      </c>
      <c r="J2050" s="1" t="str">
        <f t="shared" si="619"/>
        <v>C41C</v>
      </c>
      <c r="K2050" s="1" t="str">
        <f t="shared" si="619"/>
        <v>C41C</v>
      </c>
      <c r="L2050" s="1" t="str">
        <f t="shared" si="620"/>
        <v>R</v>
      </c>
      <c r="M2050" s="1" t="str">
        <f>""</f>
        <v/>
      </c>
      <c r="N2050" s="1" t="str">
        <f t="shared" si="621"/>
        <v>Y</v>
      </c>
      <c r="O2050" s="1" t="str">
        <f t="shared" si="608"/>
        <v>Y</v>
      </c>
      <c r="P2050" s="1" t="str">
        <f t="shared" si="606"/>
        <v>Y</v>
      </c>
      <c r="Q2050" s="1" t="str">
        <f t="shared" si="609"/>
        <v>A</v>
      </c>
    </row>
    <row r="2051" spans="1:17" x14ac:dyDescent="0.3">
      <c r="A2051" s="1" t="str">
        <f t="shared" si="617"/>
        <v>ZC</v>
      </c>
      <c r="B2051" s="1" t="str">
        <f>"AUS013"</f>
        <v>AUS013</v>
      </c>
      <c r="C2051" s="1" t="str">
        <f>"신장낭종"</f>
        <v>신장낭종</v>
      </c>
      <c r="D2051" s="1" t="str">
        <f>"복부초음파 검사상 신장에 낭종(물혹)이 관찰됩니다. 낭종은 대부분 증상이 없으며 특별한 치료가 필요 없습니다. 정기적인 추적검사 받으시기 바랍니다."</f>
        <v>복부초음파 검사상 신장에 낭종(물혹)이 관찰됩니다. 낭종은 대부분 증상이 없으며 특별한 치료가 필요 없습니다. 정기적인 추적검사 받으시기 바랍니다.</v>
      </c>
      <c r="E2051" s="1" t="str">
        <f>""</f>
        <v/>
      </c>
      <c r="F2051" s="1" t="str">
        <f>""</f>
        <v/>
      </c>
      <c r="G2051" s="1" t="str">
        <f t="shared" si="618"/>
        <v>DISK</v>
      </c>
      <c r="H2051" s="1" t="str">
        <f>""</f>
        <v/>
      </c>
      <c r="I2051" s="1" t="str">
        <f>""</f>
        <v/>
      </c>
      <c r="J2051" s="1" t="str">
        <f t="shared" si="619"/>
        <v>C41C</v>
      </c>
      <c r="K2051" s="1" t="str">
        <f t="shared" si="619"/>
        <v>C41C</v>
      </c>
      <c r="L2051" s="1" t="str">
        <f t="shared" si="620"/>
        <v>R</v>
      </c>
      <c r="M2051" s="1" t="str">
        <f>""</f>
        <v/>
      </c>
      <c r="N2051" s="1" t="str">
        <f t="shared" si="621"/>
        <v>Y</v>
      </c>
      <c r="O2051" s="1" t="str">
        <f t="shared" si="608"/>
        <v>Y</v>
      </c>
      <c r="P2051" s="1" t="str">
        <f t="shared" si="606"/>
        <v>Y</v>
      </c>
      <c r="Q2051" s="1" t="str">
        <f t="shared" si="609"/>
        <v>A</v>
      </c>
    </row>
    <row r="2052" spans="1:17" x14ac:dyDescent="0.3">
      <c r="A2052" s="1" t="str">
        <f t="shared" si="617"/>
        <v>ZC</v>
      </c>
      <c r="B2052" s="1" t="str">
        <f>"AUS014"</f>
        <v>AUS014</v>
      </c>
      <c r="C2052" s="1" t="str">
        <f>"담관확장"</f>
        <v>담관확장</v>
      </c>
      <c r="D2052" s="1" t="s">
        <v>571</v>
      </c>
      <c r="E2052" s="1" t="str">
        <f>""</f>
        <v/>
      </c>
      <c r="F2052" s="1" t="str">
        <f>""</f>
        <v/>
      </c>
      <c r="G2052" s="1" t="str">
        <f t="shared" si="618"/>
        <v>DISK</v>
      </c>
      <c r="H2052" s="1" t="str">
        <f>""</f>
        <v/>
      </c>
      <c r="I2052" s="1" t="str">
        <f>""</f>
        <v/>
      </c>
      <c r="J2052" s="1" t="str">
        <f t="shared" si="619"/>
        <v>C41C</v>
      </c>
      <c r="K2052" s="1" t="str">
        <f t="shared" si="619"/>
        <v>C41C</v>
      </c>
      <c r="L2052" s="1" t="str">
        <f t="shared" si="620"/>
        <v>R</v>
      </c>
      <c r="M2052" s="1" t="str">
        <f>""</f>
        <v/>
      </c>
      <c r="N2052" s="1" t="str">
        <f t="shared" si="621"/>
        <v>Y</v>
      </c>
      <c r="O2052" s="1" t="str">
        <f t="shared" si="608"/>
        <v>Y</v>
      </c>
      <c r="P2052" s="1" t="str">
        <f t="shared" si="606"/>
        <v>Y</v>
      </c>
      <c r="Q2052" s="1" t="str">
        <f t="shared" si="609"/>
        <v>A</v>
      </c>
    </row>
    <row r="2053" spans="1:17" x14ac:dyDescent="0.3">
      <c r="A2053" s="1" t="str">
        <f t="shared" si="617"/>
        <v>ZC</v>
      </c>
      <c r="B2053" s="1" t="str">
        <f>"AUS015"</f>
        <v>AUS015</v>
      </c>
      <c r="C2053" s="1" t="str">
        <f>"간내 담석"</f>
        <v>간내 담석</v>
      </c>
      <c r="D2053" s="1" t="s">
        <v>572</v>
      </c>
      <c r="E2053" s="1" t="str">
        <f>""</f>
        <v/>
      </c>
      <c r="F2053" s="1" t="str">
        <f>""</f>
        <v/>
      </c>
      <c r="G2053" s="1" t="str">
        <f t="shared" si="618"/>
        <v>DISK</v>
      </c>
      <c r="H2053" s="1" t="str">
        <f>""</f>
        <v/>
      </c>
      <c r="I2053" s="1" t="str">
        <f>""</f>
        <v/>
      </c>
      <c r="J2053" s="1" t="str">
        <f t="shared" si="619"/>
        <v>C41C</v>
      </c>
      <c r="K2053" s="1" t="str">
        <f t="shared" si="619"/>
        <v>C41C</v>
      </c>
      <c r="L2053" s="1" t="str">
        <f t="shared" si="620"/>
        <v>R</v>
      </c>
      <c r="M2053" s="1" t="str">
        <f>""</f>
        <v/>
      </c>
      <c r="N2053" s="1" t="str">
        <f t="shared" si="621"/>
        <v>Y</v>
      </c>
      <c r="O2053" s="1" t="str">
        <f t="shared" si="608"/>
        <v>Y</v>
      </c>
      <c r="P2053" s="1" t="str">
        <f t="shared" si="606"/>
        <v>Y</v>
      </c>
      <c r="Q2053" s="1" t="str">
        <f t="shared" si="609"/>
        <v>A</v>
      </c>
    </row>
    <row r="2054" spans="1:17" x14ac:dyDescent="0.3">
      <c r="A2054" s="1" t="str">
        <f t="shared" si="617"/>
        <v>ZC</v>
      </c>
      <c r="B2054" s="1" t="str">
        <f>"AUS016"</f>
        <v>AUS016</v>
      </c>
      <c r="C2054" s="1" t="str">
        <f>"담낭벽 이상"</f>
        <v>담낭벽 이상</v>
      </c>
      <c r="D2054" s="1" t="str">
        <f>"복부초음파 검사상 담낭벽이 일부 두꺼워진 소견이 있습니다. 만성 담낭염 등 담낭질환이 동반되어 있을 가능성이 있습니다. 추가 검사 및 경과 관찰이 필요하오니 의료기관을 방문하시어 진료상담을 받으시기 바랍니다."</f>
        <v>복부초음파 검사상 담낭벽이 일부 두꺼워진 소견이 있습니다. 만성 담낭염 등 담낭질환이 동반되어 있을 가능성이 있습니다. 추가 검사 및 경과 관찰이 필요하오니 의료기관을 방문하시어 진료상담을 받으시기 바랍니다.</v>
      </c>
      <c r="E2054" s="1" t="str">
        <f>""</f>
        <v/>
      </c>
      <c r="F2054" s="1" t="str">
        <f>""</f>
        <v/>
      </c>
      <c r="G2054" s="1" t="str">
        <f t="shared" si="618"/>
        <v>DISK</v>
      </c>
      <c r="H2054" s="1" t="str">
        <f>""</f>
        <v/>
      </c>
      <c r="I2054" s="1" t="str">
        <f>""</f>
        <v/>
      </c>
      <c r="J2054" s="1" t="str">
        <f t="shared" si="619"/>
        <v>C41C</v>
      </c>
      <c r="K2054" s="1" t="str">
        <f t="shared" si="619"/>
        <v>C41C</v>
      </c>
      <c r="L2054" s="1" t="str">
        <f t="shared" si="620"/>
        <v>R</v>
      </c>
      <c r="M2054" s="1" t="str">
        <f>""</f>
        <v/>
      </c>
      <c r="N2054" s="1" t="str">
        <f t="shared" si="621"/>
        <v>Y</v>
      </c>
      <c r="O2054" s="1" t="str">
        <f t="shared" si="608"/>
        <v>Y</v>
      </c>
      <c r="P2054" s="1" t="str">
        <f t="shared" si="606"/>
        <v>Y</v>
      </c>
      <c r="Q2054" s="1" t="str">
        <f t="shared" si="609"/>
        <v>A</v>
      </c>
    </row>
    <row r="2055" spans="1:17" x14ac:dyDescent="0.3">
      <c r="A2055" s="1" t="str">
        <f t="shared" si="617"/>
        <v>ZC</v>
      </c>
      <c r="B2055" s="1" t="str">
        <f>"AUS017"</f>
        <v>AUS017</v>
      </c>
      <c r="C2055" s="1" t="str">
        <f>"수신증"</f>
        <v>수신증</v>
      </c>
      <c r="D2055" s="1" t="s">
        <v>573</v>
      </c>
      <c r="E2055" s="1" t="str">
        <f>""</f>
        <v/>
      </c>
      <c r="F2055" s="1" t="str">
        <f>""</f>
        <v/>
      </c>
      <c r="G2055" s="1" t="str">
        <f>"DISN"</f>
        <v>DISN</v>
      </c>
      <c r="H2055" s="1" t="str">
        <f>""</f>
        <v/>
      </c>
      <c r="I2055" s="1" t="str">
        <f>""</f>
        <v/>
      </c>
      <c r="J2055" s="1" t="str">
        <f>"C44C"</f>
        <v>C44C</v>
      </c>
      <c r="K2055" s="1" t="str">
        <f>"C44C"</f>
        <v>C44C</v>
      </c>
      <c r="L2055" s="1" t="str">
        <f t="shared" si="620"/>
        <v>R</v>
      </c>
      <c r="M2055" s="1" t="str">
        <f>""</f>
        <v/>
      </c>
      <c r="N2055" s="1" t="str">
        <f t="shared" si="621"/>
        <v>Y</v>
      </c>
      <c r="O2055" s="1" t="str">
        <f t="shared" si="608"/>
        <v>Y</v>
      </c>
      <c r="P2055" s="1" t="str">
        <f t="shared" si="606"/>
        <v>Y</v>
      </c>
      <c r="Q2055" s="1" t="str">
        <f t="shared" si="609"/>
        <v>A</v>
      </c>
    </row>
    <row r="2056" spans="1:17" x14ac:dyDescent="0.3">
      <c r="A2056" s="1" t="str">
        <f t="shared" si="617"/>
        <v>ZC</v>
      </c>
      <c r="B2056" s="1" t="str">
        <f>"AUS018"</f>
        <v>AUS018</v>
      </c>
      <c r="C2056" s="1" t="str">
        <f>"췌장염"</f>
        <v>췌장염</v>
      </c>
      <c r="D2056" s="1" t="s">
        <v>574</v>
      </c>
      <c r="E2056" s="1" t="str">
        <f>""</f>
        <v/>
      </c>
      <c r="F2056" s="1" t="str">
        <f>""</f>
        <v/>
      </c>
      <c r="G2056" s="1" t="str">
        <f t="shared" ref="G2056:G2064" si="622">"DISK"</f>
        <v>DISK</v>
      </c>
      <c r="H2056" s="1" t="str">
        <f>""</f>
        <v/>
      </c>
      <c r="I2056" s="1" t="str">
        <f>""</f>
        <v/>
      </c>
      <c r="J2056" s="1" t="str">
        <f t="shared" ref="J2056:K2058" si="623">"C41C"</f>
        <v>C41C</v>
      </c>
      <c r="K2056" s="1" t="str">
        <f t="shared" si="623"/>
        <v>C41C</v>
      </c>
      <c r="L2056" s="1" t="str">
        <f t="shared" si="620"/>
        <v>R</v>
      </c>
      <c r="M2056" s="1" t="str">
        <f>""</f>
        <v/>
      </c>
      <c r="N2056" s="1" t="str">
        <f t="shared" si="621"/>
        <v>Y</v>
      </c>
      <c r="O2056" s="1" t="str">
        <f t="shared" si="608"/>
        <v>Y</v>
      </c>
      <c r="P2056" s="1" t="str">
        <f t="shared" si="606"/>
        <v>Y</v>
      </c>
      <c r="Q2056" s="1" t="str">
        <f t="shared" si="609"/>
        <v>A</v>
      </c>
    </row>
    <row r="2057" spans="1:17" x14ac:dyDescent="0.3">
      <c r="A2057" s="1" t="str">
        <f t="shared" si="617"/>
        <v>ZC</v>
      </c>
      <c r="B2057" s="1" t="str">
        <f>"AUS019"</f>
        <v>AUS019</v>
      </c>
      <c r="C2057" s="1" t="str">
        <f>"췌장관확장"</f>
        <v>췌장관확장</v>
      </c>
      <c r="D2057" s="1" t="s">
        <v>575</v>
      </c>
      <c r="E2057" s="1" t="str">
        <f>""</f>
        <v/>
      </c>
      <c r="F2057" s="1" t="str">
        <f>""</f>
        <v/>
      </c>
      <c r="G2057" s="1" t="str">
        <f t="shared" si="622"/>
        <v>DISK</v>
      </c>
      <c r="H2057" s="1" t="str">
        <f>""</f>
        <v/>
      </c>
      <c r="I2057" s="1" t="str">
        <f>""</f>
        <v/>
      </c>
      <c r="J2057" s="1" t="str">
        <f t="shared" si="623"/>
        <v>C41C</v>
      </c>
      <c r="K2057" s="1" t="str">
        <f t="shared" si="623"/>
        <v>C41C</v>
      </c>
      <c r="L2057" s="1" t="str">
        <f t="shared" si="620"/>
        <v>R</v>
      </c>
      <c r="M2057" s="1" t="str">
        <f>""</f>
        <v/>
      </c>
      <c r="N2057" s="1" t="str">
        <f t="shared" si="621"/>
        <v>Y</v>
      </c>
      <c r="O2057" s="1" t="str">
        <f t="shared" si="608"/>
        <v>Y</v>
      </c>
      <c r="P2057" s="1" t="str">
        <f t="shared" si="606"/>
        <v>Y</v>
      </c>
      <c r="Q2057" s="1" t="str">
        <f t="shared" si="609"/>
        <v>A</v>
      </c>
    </row>
    <row r="2058" spans="1:17" x14ac:dyDescent="0.3">
      <c r="A2058" s="1" t="str">
        <f t="shared" si="617"/>
        <v>ZC</v>
      </c>
      <c r="B2058" s="1" t="str">
        <f>"AUS020"</f>
        <v>AUS020</v>
      </c>
      <c r="C2058" s="1" t="str">
        <f>"간종대"</f>
        <v>간종대</v>
      </c>
      <c r="D2058" s="1" t="s">
        <v>576</v>
      </c>
      <c r="E2058" s="1" t="str">
        <f>""</f>
        <v/>
      </c>
      <c r="F2058" s="1" t="str">
        <f>""</f>
        <v/>
      </c>
      <c r="G2058" s="1" t="str">
        <f t="shared" si="622"/>
        <v>DISK</v>
      </c>
      <c r="H2058" s="1" t="str">
        <f>""</f>
        <v/>
      </c>
      <c r="I2058" s="1" t="str">
        <f>""</f>
        <v/>
      </c>
      <c r="J2058" s="1" t="str">
        <f t="shared" si="623"/>
        <v>C41C</v>
      </c>
      <c r="K2058" s="1" t="str">
        <f t="shared" si="623"/>
        <v>C41C</v>
      </c>
      <c r="L2058" s="1" t="str">
        <f t="shared" si="620"/>
        <v>R</v>
      </c>
      <c r="M2058" s="1" t="str">
        <f>""</f>
        <v/>
      </c>
      <c r="N2058" s="1" t="str">
        <f t="shared" si="621"/>
        <v>Y</v>
      </c>
      <c r="O2058" s="1" t="str">
        <f t="shared" si="608"/>
        <v>Y</v>
      </c>
      <c r="P2058" s="1" t="str">
        <f t="shared" ref="P2058:P2121" si="624">"Y"</f>
        <v>Y</v>
      </c>
      <c r="Q2058" s="1" t="str">
        <f t="shared" si="609"/>
        <v>A</v>
      </c>
    </row>
    <row r="2059" spans="1:17" x14ac:dyDescent="0.3">
      <c r="A2059" s="1" t="str">
        <f t="shared" si="617"/>
        <v>ZC</v>
      </c>
      <c r="B2059" s="1" t="str">
        <f>"AUS023"</f>
        <v>AUS023</v>
      </c>
      <c r="C2059" s="1" t="str">
        <f>"경도 지방간"</f>
        <v>경도 지방간</v>
      </c>
      <c r="D2059" s="1" t="s">
        <v>577</v>
      </c>
      <c r="E2059" s="1" t="str">
        <f>""</f>
        <v/>
      </c>
      <c r="F2059" s="1" t="str">
        <f>""</f>
        <v/>
      </c>
      <c r="G2059" s="1" t="str">
        <f t="shared" si="622"/>
        <v>DISK</v>
      </c>
      <c r="H2059" s="1" t="str">
        <f>"REL05"</f>
        <v>REL05</v>
      </c>
      <c r="I2059" s="1" t="str">
        <f>""</f>
        <v/>
      </c>
      <c r="J2059" s="1" t="str">
        <f>""</f>
        <v/>
      </c>
      <c r="K2059" s="1" t="str">
        <f>""</f>
        <v/>
      </c>
      <c r="L2059" s="1" t="str">
        <f t="shared" si="620"/>
        <v>R</v>
      </c>
      <c r="M2059" s="1" t="str">
        <f>""</f>
        <v/>
      </c>
      <c r="N2059" s="1" t="str">
        <f t="shared" si="621"/>
        <v>Y</v>
      </c>
      <c r="O2059" s="1" t="str">
        <f t="shared" si="608"/>
        <v>Y</v>
      </c>
      <c r="P2059" s="1" t="str">
        <f t="shared" si="624"/>
        <v>Y</v>
      </c>
      <c r="Q2059" s="1" t="str">
        <f t="shared" si="609"/>
        <v>A</v>
      </c>
    </row>
    <row r="2060" spans="1:17" x14ac:dyDescent="0.3">
      <c r="A2060" s="1" t="str">
        <f t="shared" si="617"/>
        <v>ZC</v>
      </c>
      <c r="B2060" s="1" t="str">
        <f>"AUS024"</f>
        <v>AUS024</v>
      </c>
      <c r="C2060" s="1" t="str">
        <f>"중증도 지방간"</f>
        <v>중증도 지방간</v>
      </c>
      <c r="D2060" s="1" t="s">
        <v>578</v>
      </c>
      <c r="E2060" s="1" t="str">
        <f>""</f>
        <v/>
      </c>
      <c r="F2060" s="1" t="str">
        <f>""</f>
        <v/>
      </c>
      <c r="G2060" s="1" t="str">
        <f t="shared" si="622"/>
        <v>DISK</v>
      </c>
      <c r="H2060" s="1" t="str">
        <f>"REL05"</f>
        <v>REL05</v>
      </c>
      <c r="I2060" s="1" t="str">
        <f>""</f>
        <v/>
      </c>
      <c r="J2060" s="1" t="str">
        <f>""</f>
        <v/>
      </c>
      <c r="K2060" s="1" t="str">
        <f>""</f>
        <v/>
      </c>
      <c r="L2060" s="1" t="str">
        <f t="shared" si="620"/>
        <v>R</v>
      </c>
      <c r="M2060" s="1" t="str">
        <f>""</f>
        <v/>
      </c>
      <c r="N2060" s="1" t="str">
        <f t="shared" si="621"/>
        <v>Y</v>
      </c>
      <c r="O2060" s="1" t="str">
        <f t="shared" si="608"/>
        <v>Y</v>
      </c>
      <c r="P2060" s="1" t="str">
        <f t="shared" si="624"/>
        <v>Y</v>
      </c>
      <c r="Q2060" s="1" t="str">
        <f t="shared" si="609"/>
        <v>A</v>
      </c>
    </row>
    <row r="2061" spans="1:17" x14ac:dyDescent="0.3">
      <c r="A2061" s="1" t="str">
        <f t="shared" si="617"/>
        <v>ZC</v>
      </c>
      <c r="B2061" s="1" t="str">
        <f>"AUS025"</f>
        <v>AUS025</v>
      </c>
      <c r="C2061" s="1" t="str">
        <f>"고도 지방간"</f>
        <v>고도 지방간</v>
      </c>
      <c r="D2061" s="1" t="s">
        <v>579</v>
      </c>
      <c r="E2061" s="1" t="str">
        <f>""</f>
        <v/>
      </c>
      <c r="F2061" s="1" t="str">
        <f>""</f>
        <v/>
      </c>
      <c r="G2061" s="1" t="str">
        <f t="shared" si="622"/>
        <v>DISK</v>
      </c>
      <c r="H2061" s="1" t="str">
        <f>"REL05"</f>
        <v>REL05</v>
      </c>
      <c r="I2061" s="1" t="str">
        <f>""</f>
        <v/>
      </c>
      <c r="J2061" s="1" t="str">
        <f>""</f>
        <v/>
      </c>
      <c r="K2061" s="1" t="str">
        <f>""</f>
        <v/>
      </c>
      <c r="L2061" s="1" t="str">
        <f t="shared" si="620"/>
        <v>R</v>
      </c>
      <c r="M2061" s="1" t="str">
        <f>""</f>
        <v/>
      </c>
      <c r="N2061" s="1" t="str">
        <f t="shared" si="621"/>
        <v>Y</v>
      </c>
      <c r="O2061" s="1" t="str">
        <f t="shared" si="608"/>
        <v>Y</v>
      </c>
      <c r="P2061" s="1" t="str">
        <f t="shared" si="624"/>
        <v>Y</v>
      </c>
      <c r="Q2061" s="1" t="str">
        <f t="shared" si="609"/>
        <v>A</v>
      </c>
    </row>
    <row r="2062" spans="1:17" x14ac:dyDescent="0.3">
      <c r="A2062" s="1" t="str">
        <f t="shared" si="617"/>
        <v>ZC</v>
      </c>
      <c r="B2062" s="1" t="str">
        <f>"AUS026"</f>
        <v>AUS026</v>
      </c>
      <c r="C2062" s="1" t="str">
        <f>"급성 담낭염"</f>
        <v>급성 담낭염</v>
      </c>
      <c r="D2062" s="1" t="s">
        <v>580</v>
      </c>
      <c r="E2062" s="1" t="str">
        <f>""</f>
        <v/>
      </c>
      <c r="F2062" s="1" t="str">
        <f>""</f>
        <v/>
      </c>
      <c r="G2062" s="1" t="str">
        <f t="shared" si="622"/>
        <v>DISK</v>
      </c>
      <c r="H2062" s="1" t="str">
        <f>"REL05"</f>
        <v>REL05</v>
      </c>
      <c r="I2062" s="1" t="str">
        <f>""</f>
        <v/>
      </c>
      <c r="J2062" s="1" t="str">
        <f>""</f>
        <v/>
      </c>
      <c r="K2062" s="1" t="str">
        <f>""</f>
        <v/>
      </c>
      <c r="L2062" s="1" t="str">
        <f t="shared" si="620"/>
        <v>R</v>
      </c>
      <c r="M2062" s="1" t="str">
        <f>""</f>
        <v/>
      </c>
      <c r="N2062" s="1" t="str">
        <f t="shared" si="621"/>
        <v>Y</v>
      </c>
      <c r="O2062" s="1" t="str">
        <f t="shared" si="608"/>
        <v>Y</v>
      </c>
      <c r="P2062" s="1" t="str">
        <f t="shared" si="624"/>
        <v>Y</v>
      </c>
      <c r="Q2062" s="1" t="str">
        <f t="shared" si="609"/>
        <v>A</v>
      </c>
    </row>
    <row r="2063" spans="1:17" x14ac:dyDescent="0.3">
      <c r="A2063" s="1" t="str">
        <f t="shared" si="617"/>
        <v>ZC</v>
      </c>
      <c r="B2063" s="1" t="str">
        <f>"AUS027"</f>
        <v>AUS027</v>
      </c>
      <c r="C2063" s="1" t="str">
        <f>"만성 담낭염"</f>
        <v>만성 담낭염</v>
      </c>
      <c r="D2063" s="1" t="s">
        <v>581</v>
      </c>
      <c r="E2063" s="1" t="str">
        <f>""</f>
        <v/>
      </c>
      <c r="F2063" s="1" t="str">
        <f>""</f>
        <v/>
      </c>
      <c r="G2063" s="1" t="str">
        <f t="shared" si="622"/>
        <v>DISK</v>
      </c>
      <c r="H2063" s="1" t="str">
        <f>"REL05"</f>
        <v>REL05</v>
      </c>
      <c r="I2063" s="1" t="str">
        <f>""</f>
        <v/>
      </c>
      <c r="J2063" s="1" t="str">
        <f>""</f>
        <v/>
      </c>
      <c r="K2063" s="1" t="str">
        <f>""</f>
        <v/>
      </c>
      <c r="L2063" s="1" t="str">
        <f t="shared" si="620"/>
        <v>R</v>
      </c>
      <c r="M2063" s="1" t="str">
        <f>""</f>
        <v/>
      </c>
      <c r="N2063" s="1" t="str">
        <f t="shared" si="621"/>
        <v>Y</v>
      </c>
      <c r="O2063" s="1" t="str">
        <f t="shared" si="608"/>
        <v>Y</v>
      </c>
      <c r="P2063" s="1" t="str">
        <f t="shared" si="624"/>
        <v>Y</v>
      </c>
      <c r="Q2063" s="1" t="str">
        <f t="shared" si="609"/>
        <v>A</v>
      </c>
    </row>
    <row r="2064" spans="1:17" x14ac:dyDescent="0.3">
      <c r="A2064" s="1" t="str">
        <f t="shared" si="617"/>
        <v>ZC</v>
      </c>
      <c r="B2064" s="1" t="str">
        <f>"AUS028"</f>
        <v>AUS028</v>
      </c>
      <c r="C2064" s="1" t="str">
        <f>"담관 담석"</f>
        <v>담관 담석</v>
      </c>
      <c r="D2064" s="1" t="s">
        <v>582</v>
      </c>
      <c r="E2064" s="1" t="str">
        <f>""</f>
        <v/>
      </c>
      <c r="F2064" s="1" t="str">
        <f>""</f>
        <v/>
      </c>
      <c r="G2064" s="1" t="str">
        <f t="shared" si="622"/>
        <v>DISK</v>
      </c>
      <c r="H2064" s="1" t="str">
        <f>""</f>
        <v/>
      </c>
      <c r="I2064" s="1" t="str">
        <f>""</f>
        <v/>
      </c>
      <c r="J2064" s="1" t="str">
        <f>""</f>
        <v/>
      </c>
      <c r="K2064" s="1" t="str">
        <f>""</f>
        <v/>
      </c>
      <c r="L2064" s="1" t="str">
        <f t="shared" si="620"/>
        <v>R</v>
      </c>
      <c r="M2064" s="1" t="str">
        <f>""</f>
        <v/>
      </c>
      <c r="N2064" s="1" t="str">
        <f t="shared" si="621"/>
        <v>Y</v>
      </c>
      <c r="O2064" s="1" t="str">
        <f t="shared" ref="O2064:O2127" si="625">"Y"</f>
        <v>Y</v>
      </c>
      <c r="P2064" s="1" t="str">
        <f t="shared" si="624"/>
        <v>Y</v>
      </c>
      <c r="Q2064" s="1" t="str">
        <f t="shared" si="609"/>
        <v>A</v>
      </c>
    </row>
    <row r="2065" spans="1:17" x14ac:dyDescent="0.3">
      <c r="A2065" s="1" t="str">
        <f t="shared" si="617"/>
        <v>ZC</v>
      </c>
      <c r="B2065" s="1" t="str">
        <f>"AUS029"</f>
        <v>AUS029</v>
      </c>
      <c r="C2065" s="1" t="str">
        <f>"담낭결석증"</f>
        <v>담낭결석증</v>
      </c>
      <c r="D2065" s="1" t="s">
        <v>583</v>
      </c>
      <c r="E2065" s="1" t="str">
        <f>""</f>
        <v/>
      </c>
      <c r="F2065" s="1" t="str">
        <f>""</f>
        <v/>
      </c>
      <c r="G2065" s="1" t="str">
        <f>""</f>
        <v/>
      </c>
      <c r="H2065" s="1" t="str">
        <f>""</f>
        <v/>
      </c>
      <c r="I2065" s="1" t="str">
        <f>""</f>
        <v/>
      </c>
      <c r="J2065" s="1" t="str">
        <f>""</f>
        <v/>
      </c>
      <c r="K2065" s="1" t="str">
        <f>""</f>
        <v/>
      </c>
      <c r="L2065" s="1" t="str">
        <f t="shared" si="620"/>
        <v>R</v>
      </c>
      <c r="M2065" s="1" t="str">
        <f>""</f>
        <v/>
      </c>
      <c r="N2065" s="1" t="str">
        <f t="shared" si="621"/>
        <v>Y</v>
      </c>
      <c r="O2065" s="1" t="str">
        <f t="shared" si="625"/>
        <v>Y</v>
      </c>
      <c r="P2065" s="1" t="str">
        <f t="shared" si="624"/>
        <v>Y</v>
      </c>
      <c r="Q2065" s="1" t="str">
        <f t="shared" si="609"/>
        <v>A</v>
      </c>
    </row>
    <row r="2066" spans="1:17" x14ac:dyDescent="0.3">
      <c r="A2066" s="1" t="str">
        <f t="shared" si="617"/>
        <v>ZC</v>
      </c>
      <c r="B2066" s="1" t="str">
        <f>"AUS030"</f>
        <v>AUS030</v>
      </c>
      <c r="C2066" s="1" t="str">
        <f>"담낭염"</f>
        <v>담낭염</v>
      </c>
      <c r="D2066" s="1" t="s">
        <v>584</v>
      </c>
      <c r="E2066" s="1" t="str">
        <f>""</f>
        <v/>
      </c>
      <c r="F2066" s="1" t="str">
        <f>""</f>
        <v/>
      </c>
      <c r="G2066" s="1" t="str">
        <f>""</f>
        <v/>
      </c>
      <c r="H2066" s="1" t="str">
        <f>""</f>
        <v/>
      </c>
      <c r="I2066" s="1" t="str">
        <f>""</f>
        <v/>
      </c>
      <c r="J2066" s="1" t="str">
        <f>""</f>
        <v/>
      </c>
      <c r="K2066" s="1" t="str">
        <f>""</f>
        <v/>
      </c>
      <c r="L2066" s="1" t="str">
        <f t="shared" si="620"/>
        <v>R</v>
      </c>
      <c r="M2066" s="1" t="str">
        <f>""</f>
        <v/>
      </c>
      <c r="N2066" s="1" t="str">
        <f t="shared" si="621"/>
        <v>Y</v>
      </c>
      <c r="O2066" s="1" t="str">
        <f t="shared" si="625"/>
        <v>Y</v>
      </c>
      <c r="P2066" s="1" t="str">
        <f t="shared" si="624"/>
        <v>Y</v>
      </c>
      <c r="Q2066" s="1" t="str">
        <f t="shared" ref="Q2066:Q2078" si="626">"A"</f>
        <v>A</v>
      </c>
    </row>
    <row r="2067" spans="1:17" x14ac:dyDescent="0.3">
      <c r="A2067" s="1" t="str">
        <f t="shared" si="617"/>
        <v>ZC</v>
      </c>
      <c r="B2067" s="1" t="str">
        <f>"AUS031"</f>
        <v>AUS031</v>
      </c>
      <c r="C2067" s="1" t="str">
        <f>"다낭성신종"</f>
        <v>다낭성신종</v>
      </c>
      <c r="D2067" s="1" t="s">
        <v>585</v>
      </c>
      <c r="E2067" s="1" t="str">
        <f>""</f>
        <v/>
      </c>
      <c r="F2067" s="1" t="str">
        <f>""</f>
        <v/>
      </c>
      <c r="G2067" s="1" t="str">
        <f>""</f>
        <v/>
      </c>
      <c r="H2067" s="1" t="str">
        <f>""</f>
        <v/>
      </c>
      <c r="I2067" s="1" t="str">
        <f>""</f>
        <v/>
      </c>
      <c r="J2067" s="1" t="str">
        <f>""</f>
        <v/>
      </c>
      <c r="K2067" s="1" t="str">
        <f>""</f>
        <v/>
      </c>
      <c r="L2067" s="1" t="str">
        <f t="shared" si="620"/>
        <v>R</v>
      </c>
      <c r="M2067" s="1" t="str">
        <f>""</f>
        <v/>
      </c>
      <c r="N2067" s="1" t="str">
        <f t="shared" si="621"/>
        <v>Y</v>
      </c>
      <c r="O2067" s="1" t="str">
        <f t="shared" si="625"/>
        <v>Y</v>
      </c>
      <c r="P2067" s="1" t="str">
        <f t="shared" si="624"/>
        <v>Y</v>
      </c>
      <c r="Q2067" s="1" t="str">
        <f t="shared" si="626"/>
        <v>A</v>
      </c>
    </row>
    <row r="2068" spans="1:17" x14ac:dyDescent="0.3">
      <c r="A2068" s="1" t="str">
        <f t="shared" si="617"/>
        <v>ZC</v>
      </c>
      <c r="B2068" s="1" t="str">
        <f>"AUS032"</f>
        <v>AUS032</v>
      </c>
      <c r="C2068" s="1" t="str">
        <f>"이상소견"</f>
        <v>이상소견</v>
      </c>
      <c r="D2068" s="1" t="str">
        <f>"복부초음파 검사상"</f>
        <v>복부초음파 검사상</v>
      </c>
      <c r="E2068" s="1" t="str">
        <f>""</f>
        <v/>
      </c>
      <c r="F2068" s="1" t="str">
        <f>""</f>
        <v/>
      </c>
      <c r="G2068" s="1" t="str">
        <f>""</f>
        <v/>
      </c>
      <c r="H2068" s="1" t="str">
        <f>""</f>
        <v/>
      </c>
      <c r="I2068" s="1" t="str">
        <f>""</f>
        <v/>
      </c>
      <c r="J2068" s="1" t="str">
        <f>""</f>
        <v/>
      </c>
      <c r="K2068" s="1" t="str">
        <f>""</f>
        <v/>
      </c>
      <c r="L2068" s="1" t="str">
        <f t="shared" si="620"/>
        <v>R</v>
      </c>
      <c r="M2068" s="1" t="str">
        <f>""</f>
        <v/>
      </c>
      <c r="N2068" s="1" t="str">
        <f t="shared" si="621"/>
        <v>Y</v>
      </c>
      <c r="O2068" s="1" t="str">
        <f t="shared" si="625"/>
        <v>Y</v>
      </c>
      <c r="P2068" s="1" t="str">
        <f t="shared" si="624"/>
        <v>Y</v>
      </c>
      <c r="Q2068" s="1" t="str">
        <f t="shared" si="626"/>
        <v>A</v>
      </c>
    </row>
    <row r="2069" spans="1:17" x14ac:dyDescent="0.3">
      <c r="A2069" s="1" t="str">
        <f t="shared" si="617"/>
        <v>ZC</v>
      </c>
      <c r="B2069" s="1" t="str">
        <f>"AUS034"</f>
        <v>AUS034</v>
      </c>
      <c r="C2069" s="1" t="str">
        <f>"담낭의 선근종증"</f>
        <v>담낭의 선근종증</v>
      </c>
      <c r="D2069" s="1" t="s">
        <v>586</v>
      </c>
      <c r="E2069" s="1" t="str">
        <f>""</f>
        <v/>
      </c>
      <c r="F2069" s="1" t="str">
        <f>""</f>
        <v/>
      </c>
      <c r="G2069" s="1" t="str">
        <f>""</f>
        <v/>
      </c>
      <c r="H2069" s="1" t="str">
        <f>""</f>
        <v/>
      </c>
      <c r="I2069" s="1" t="str">
        <f>""</f>
        <v/>
      </c>
      <c r="J2069" s="1" t="str">
        <f>""</f>
        <v/>
      </c>
      <c r="K2069" s="1" t="str">
        <f>""</f>
        <v/>
      </c>
      <c r="L2069" s="1" t="str">
        <f t="shared" si="620"/>
        <v>R</v>
      </c>
      <c r="M2069" s="1" t="str">
        <f>""</f>
        <v/>
      </c>
      <c r="N2069" s="1" t="str">
        <f t="shared" si="621"/>
        <v>Y</v>
      </c>
      <c r="O2069" s="1" t="str">
        <f t="shared" si="625"/>
        <v>Y</v>
      </c>
      <c r="P2069" s="1" t="str">
        <f t="shared" si="624"/>
        <v>Y</v>
      </c>
      <c r="Q2069" s="1" t="str">
        <f t="shared" si="626"/>
        <v>A</v>
      </c>
    </row>
    <row r="2070" spans="1:17" x14ac:dyDescent="0.3">
      <c r="A2070" s="1" t="str">
        <f t="shared" si="617"/>
        <v>ZC</v>
      </c>
      <c r="B2070" s="1" t="str">
        <f>"AUS0342"</f>
        <v>AUS0342</v>
      </c>
      <c r="C2070" s="1" t="str">
        <f>"담낭의 종괴"</f>
        <v>담낭의 종괴</v>
      </c>
      <c r="D2070" s="1" t="s">
        <v>587</v>
      </c>
      <c r="E2070" s="1" t="str">
        <f>""</f>
        <v/>
      </c>
      <c r="F2070" s="1" t="str">
        <f>""</f>
        <v/>
      </c>
      <c r="G2070" s="1" t="str">
        <f>""</f>
        <v/>
      </c>
      <c r="H2070" s="1" t="str">
        <f>""</f>
        <v/>
      </c>
      <c r="I2070" s="1" t="str">
        <f>""</f>
        <v/>
      </c>
      <c r="J2070" s="1" t="str">
        <f>""</f>
        <v/>
      </c>
      <c r="K2070" s="1" t="str">
        <f>""</f>
        <v/>
      </c>
      <c r="L2070" s="1" t="str">
        <f t="shared" si="620"/>
        <v>R</v>
      </c>
      <c r="M2070" s="1" t="str">
        <f>""</f>
        <v/>
      </c>
      <c r="N2070" s="1" t="str">
        <f t="shared" si="621"/>
        <v>Y</v>
      </c>
      <c r="O2070" s="1" t="str">
        <f t="shared" si="625"/>
        <v>Y</v>
      </c>
      <c r="P2070" s="1" t="str">
        <f t="shared" si="624"/>
        <v>Y</v>
      </c>
      <c r="Q2070" s="1" t="str">
        <f t="shared" si="626"/>
        <v>A</v>
      </c>
    </row>
    <row r="2071" spans="1:17" x14ac:dyDescent="0.3">
      <c r="A2071" s="1" t="str">
        <f t="shared" si="617"/>
        <v>ZC</v>
      </c>
      <c r="B2071" s="1" t="str">
        <f>"AUS035"</f>
        <v>AUS035</v>
      </c>
      <c r="C2071" s="1" t="str">
        <f>"이소신장"</f>
        <v>이소신장</v>
      </c>
      <c r="D2071" s="1" t="str">
        <f>"복부초음파 검사상 이소신장이 관찰됩니다. 이소신장은 신장의 위치가 정상과는 다른 위치에 있는 것으로 선천성 기형입니다. 하지만 신장의 기능이상 또는 합병증의 가능성은 거의 없습니다. 정기적인 추적검사 받으시기 바랍니다."</f>
        <v>복부초음파 검사상 이소신장이 관찰됩니다. 이소신장은 신장의 위치가 정상과는 다른 위치에 있는 것으로 선천성 기형입니다. 하지만 신장의 기능이상 또는 합병증의 가능성은 거의 없습니다. 정기적인 추적검사 받으시기 바랍니다.</v>
      </c>
      <c r="E2071" s="1" t="str">
        <f>""</f>
        <v/>
      </c>
      <c r="F2071" s="1" t="str">
        <f>""</f>
        <v/>
      </c>
      <c r="G2071" s="1" t="str">
        <f>""</f>
        <v/>
      </c>
      <c r="H2071" s="1" t="str">
        <f>""</f>
        <v/>
      </c>
      <c r="I2071" s="1" t="str">
        <f>""</f>
        <v/>
      </c>
      <c r="J2071" s="1" t="str">
        <f>""</f>
        <v/>
      </c>
      <c r="K2071" s="1" t="str">
        <f>""</f>
        <v/>
      </c>
      <c r="L2071" s="1" t="str">
        <f t="shared" si="620"/>
        <v>R</v>
      </c>
      <c r="M2071" s="1" t="str">
        <f>""</f>
        <v/>
      </c>
      <c r="N2071" s="1" t="str">
        <f t="shared" si="621"/>
        <v>Y</v>
      </c>
      <c r="O2071" s="1" t="str">
        <f t="shared" si="625"/>
        <v>Y</v>
      </c>
      <c r="P2071" s="1" t="str">
        <f t="shared" si="624"/>
        <v>Y</v>
      </c>
      <c r="Q2071" s="1" t="str">
        <f t="shared" si="626"/>
        <v>A</v>
      </c>
    </row>
    <row r="2072" spans="1:17" x14ac:dyDescent="0.3">
      <c r="A2072" s="1" t="str">
        <f t="shared" si="617"/>
        <v>ZC</v>
      </c>
      <c r="B2072" s="1" t="str">
        <f>"CAN302"</f>
        <v>CAN302</v>
      </c>
      <c r="C2072" s="1" t="str">
        <f>"암태아단백(CEA) 상승(소화기 질환시 상승 가능)"</f>
        <v>암태아단백(CEA) 상승(소화기 질환시 상승 가능)</v>
      </c>
      <c r="D2072" s="1" t="str">
        <f>"혈중 CEA 상승으로 추적검사 하시고  내과진료 하시기 바랍니다. (CEA는 대장암  위암  담도암  담낭암  폐암 등에서 증가할 수 있으며  갑상선 기능저하증  신부전 등에서도 상승할 수 있습니다.)"</f>
        <v>혈중 CEA 상승으로 추적검사 하시고  내과진료 하시기 바랍니다. (CEA는 대장암  위암  담도암  담낭암  폐암 등에서 증가할 수 있으며  갑상선 기능저하증  신부전 등에서도 상승할 수 있습니다.)</v>
      </c>
      <c r="E2072" s="1" t="str">
        <f>"WOK02"</f>
        <v>WOK02</v>
      </c>
      <c r="F2072" s="1" t="str">
        <f>""</f>
        <v/>
      </c>
      <c r="G2072" s="1" t="str">
        <f>"DISK"</f>
        <v>DISK</v>
      </c>
      <c r="H2072" s="1" t="str">
        <f>"REL05"</f>
        <v>REL05</v>
      </c>
      <c r="I2072" s="1" t="str">
        <f>""</f>
        <v/>
      </c>
      <c r="J2072" s="1" t="str">
        <f>"C41C"</f>
        <v>C41C</v>
      </c>
      <c r="K2072" s="1" t="str">
        <f>"C41C"</f>
        <v>C41C</v>
      </c>
      <c r="L2072" s="1" t="str">
        <f t="shared" si="620"/>
        <v>R</v>
      </c>
      <c r="M2072" s="1" t="str">
        <f>"T02"</f>
        <v>T02</v>
      </c>
      <c r="N2072" s="1" t="str">
        <f t="shared" si="621"/>
        <v>Y</v>
      </c>
      <c r="O2072" s="1" t="str">
        <f t="shared" si="625"/>
        <v>Y</v>
      </c>
      <c r="P2072" s="1" t="str">
        <f t="shared" si="624"/>
        <v>Y</v>
      </c>
      <c r="Q2072" s="1" t="str">
        <f t="shared" si="626"/>
        <v>A</v>
      </c>
    </row>
    <row r="2073" spans="1:17" x14ac:dyDescent="0.3">
      <c r="A2073" s="1" t="str">
        <f t="shared" si="617"/>
        <v>ZC</v>
      </c>
      <c r="B2073" s="1" t="str">
        <f>"CAN304"</f>
        <v>CAN304</v>
      </c>
      <c r="C2073" s="1" t="str">
        <f>"PSA상승 (전립선질환시 상승 가능)"</f>
        <v>PSA상승 (전립선질환시 상승 가능)</v>
      </c>
      <c r="D2073" s="1" t="s">
        <v>588</v>
      </c>
      <c r="E2073" s="1" t="str">
        <f>"WOK02"</f>
        <v>WOK02</v>
      </c>
      <c r="F2073" s="1" t="str">
        <f>""</f>
        <v/>
      </c>
      <c r="G2073" s="1" t="str">
        <f>"DISN"</f>
        <v>DISN</v>
      </c>
      <c r="H2073" s="1" t="str">
        <f>"REL09"</f>
        <v>REL09</v>
      </c>
      <c r="I2073" s="1" t="str">
        <f>""</f>
        <v/>
      </c>
      <c r="J2073" s="1" t="str">
        <f>"C44C"</f>
        <v>C44C</v>
      </c>
      <c r="K2073" s="1" t="str">
        <f>"C44C"</f>
        <v>C44C</v>
      </c>
      <c r="L2073" s="1" t="str">
        <f t="shared" si="620"/>
        <v>R</v>
      </c>
      <c r="M2073" s="1" t="str">
        <f>"T07"</f>
        <v>T07</v>
      </c>
      <c r="N2073" s="1" t="str">
        <f t="shared" si="621"/>
        <v>Y</v>
      </c>
      <c r="O2073" s="1" t="str">
        <f t="shared" si="625"/>
        <v>Y</v>
      </c>
      <c r="P2073" s="1" t="str">
        <f t="shared" si="624"/>
        <v>Y</v>
      </c>
      <c r="Q2073" s="1" t="str">
        <f t="shared" si="626"/>
        <v>A</v>
      </c>
    </row>
    <row r="2074" spans="1:17" x14ac:dyDescent="0.3">
      <c r="A2074" s="1" t="str">
        <f t="shared" si="617"/>
        <v>ZC</v>
      </c>
      <c r="B2074" s="1" t="str">
        <f>"CAN306"</f>
        <v>CAN306</v>
      </c>
      <c r="C2074" s="1" t="str">
        <f>"CA-125 상승"</f>
        <v>CA-125 상승</v>
      </c>
      <c r="D2074" s="1" t="s">
        <v>57</v>
      </c>
      <c r="E2074" s="1" t="str">
        <f>"WOK02"</f>
        <v>WOK02</v>
      </c>
      <c r="F2074" s="1" t="str">
        <f>"PTM03"</f>
        <v>PTM03</v>
      </c>
      <c r="G2074" s="1" t="str">
        <f>"DISN"</f>
        <v>DISN</v>
      </c>
      <c r="H2074" s="1" t="str">
        <f>"REL11"</f>
        <v>REL11</v>
      </c>
      <c r="I2074" s="1" t="str">
        <f>""</f>
        <v/>
      </c>
      <c r="J2074" s="1" t="str">
        <f>""</f>
        <v/>
      </c>
      <c r="K2074" s="1" t="str">
        <f>""</f>
        <v/>
      </c>
      <c r="L2074" s="1" t="str">
        <f t="shared" si="620"/>
        <v>R</v>
      </c>
      <c r="M2074" s="1" t="str">
        <f>"T07"</f>
        <v>T07</v>
      </c>
      <c r="N2074" s="1" t="str">
        <f t="shared" si="621"/>
        <v>Y</v>
      </c>
      <c r="O2074" s="1" t="str">
        <f t="shared" si="625"/>
        <v>Y</v>
      </c>
      <c r="P2074" s="1" t="str">
        <f t="shared" si="624"/>
        <v>Y</v>
      </c>
      <c r="Q2074" s="1" t="str">
        <f t="shared" si="626"/>
        <v>A</v>
      </c>
    </row>
    <row r="2075" spans="1:17" x14ac:dyDescent="0.3">
      <c r="A2075" s="1" t="str">
        <f t="shared" si="617"/>
        <v>ZC</v>
      </c>
      <c r="B2075" s="1" t="str">
        <f>"CAN307"</f>
        <v>CAN307</v>
      </c>
      <c r="C2075" s="1" t="str">
        <f>"폐암표식자 수치 상승"</f>
        <v>폐암표식자 수치 상승</v>
      </c>
      <c r="D2075" s="1" t="str">
        <f>"정확한 진단을 위해 호흡기내과 진료를 받으세요."</f>
        <v>정확한 진단을 위해 호흡기내과 진료를 받으세요.</v>
      </c>
      <c r="E2075" s="1" t="str">
        <f>""</f>
        <v/>
      </c>
      <c r="F2075" s="1" t="str">
        <f>"PTM03"</f>
        <v>PTM03</v>
      </c>
      <c r="G2075" s="1" t="str">
        <f>"DISJ"</f>
        <v>DISJ</v>
      </c>
      <c r="H2075" s="1" t="str">
        <f>"REL02"</f>
        <v>REL02</v>
      </c>
      <c r="I2075" s="1" t="str">
        <f>""</f>
        <v/>
      </c>
      <c r="J2075" s="1" t="str">
        <f>""</f>
        <v/>
      </c>
      <c r="K2075" s="1" t="str">
        <f>""</f>
        <v/>
      </c>
      <c r="L2075" s="1" t="str">
        <f t="shared" si="620"/>
        <v>R</v>
      </c>
      <c r="M2075" s="1" t="str">
        <f>"T04"</f>
        <v>T04</v>
      </c>
      <c r="N2075" s="1" t="str">
        <f t="shared" si="621"/>
        <v>Y</v>
      </c>
      <c r="O2075" s="1" t="str">
        <f t="shared" si="625"/>
        <v>Y</v>
      </c>
      <c r="P2075" s="1" t="str">
        <f t="shared" si="624"/>
        <v>Y</v>
      </c>
      <c r="Q2075" s="1" t="str">
        <f t="shared" si="626"/>
        <v>A</v>
      </c>
    </row>
    <row r="2076" spans="1:17" x14ac:dyDescent="0.3">
      <c r="A2076" s="1" t="str">
        <f t="shared" si="617"/>
        <v>ZC</v>
      </c>
      <c r="B2076" s="1" t="str">
        <f>"COL301"</f>
        <v>COL301</v>
      </c>
      <c r="C2076" s="1" t="str">
        <f>"대변잠혈반응 검사 양성"</f>
        <v>대변잠혈반응 검사 양성</v>
      </c>
      <c r="D2076" s="1" t="s">
        <v>589</v>
      </c>
      <c r="E2076" s="1" t="str">
        <f>""</f>
        <v/>
      </c>
      <c r="F2076" s="1" t="str">
        <f>"PTM03"</f>
        <v>PTM03</v>
      </c>
      <c r="G2076" s="1" t="str">
        <f>"DISK"</f>
        <v>DISK</v>
      </c>
      <c r="H2076" s="1" t="str">
        <f>""</f>
        <v/>
      </c>
      <c r="I2076" s="1" t="str">
        <f>""</f>
        <v/>
      </c>
      <c r="J2076" s="1" t="str">
        <f>""</f>
        <v/>
      </c>
      <c r="K2076" s="1" t="str">
        <f>""</f>
        <v/>
      </c>
      <c r="L2076" s="1" t="str">
        <f t="shared" si="620"/>
        <v>R</v>
      </c>
      <c r="M2076" s="1" t="str">
        <f>""</f>
        <v/>
      </c>
      <c r="N2076" s="1" t="str">
        <f t="shared" si="621"/>
        <v>Y</v>
      </c>
      <c r="O2076" s="1" t="str">
        <f t="shared" si="625"/>
        <v>Y</v>
      </c>
      <c r="P2076" s="1" t="str">
        <f t="shared" si="624"/>
        <v>Y</v>
      </c>
      <c r="Q2076" s="1" t="str">
        <f t="shared" si="626"/>
        <v>A</v>
      </c>
    </row>
    <row r="2077" spans="1:17" x14ac:dyDescent="0.3">
      <c r="A2077" s="1" t="str">
        <f t="shared" si="617"/>
        <v>ZC</v>
      </c>
      <c r="B2077" s="1" t="str">
        <f>"CRP301"</f>
        <v>CRP301</v>
      </c>
      <c r="C2077" s="1" t="str">
        <f>"CRP(반응성 단백)상승"</f>
        <v>CRP(반응성 단백)상승</v>
      </c>
      <c r="D2077" s="1" t="str">
        <f>"여러가지 질환(감염증 교원병 소화기계 질환  악성종양  동맥혈관질환 등)에서 상승하며 다른인자 등과 종합적인 판단에 도움이 됩니다.추적검사 요합니다."</f>
        <v>여러가지 질환(감염증 교원병 소화기계 질환  악성종양  동맥혈관질환 등)에서 상승하며 다른인자 등과 종합적인 판단에 도움이 됩니다.추적검사 요합니다.</v>
      </c>
      <c r="E2077" s="1" t="str">
        <f>""</f>
        <v/>
      </c>
      <c r="F2077" s="1" t="str">
        <f>""</f>
        <v/>
      </c>
      <c r="G2077" s="1" t="str">
        <f>""</f>
        <v/>
      </c>
      <c r="H2077" s="1" t="str">
        <f>""</f>
        <v/>
      </c>
      <c r="I2077" s="1" t="str">
        <f>""</f>
        <v/>
      </c>
      <c r="J2077" s="1" t="str">
        <f>""</f>
        <v/>
      </c>
      <c r="K2077" s="1" t="str">
        <f>""</f>
        <v/>
      </c>
      <c r="L2077" s="1" t="str">
        <f t="shared" si="620"/>
        <v>R</v>
      </c>
      <c r="M2077" s="1" t="str">
        <f>""</f>
        <v/>
      </c>
      <c r="N2077" s="1" t="str">
        <f t="shared" si="621"/>
        <v>Y</v>
      </c>
      <c r="O2077" s="1" t="str">
        <f t="shared" si="625"/>
        <v>Y</v>
      </c>
      <c r="P2077" s="1" t="str">
        <f t="shared" si="624"/>
        <v>Y</v>
      </c>
      <c r="Q2077" s="1" t="str">
        <f t="shared" si="626"/>
        <v>A</v>
      </c>
    </row>
    <row r="2078" spans="1:17" x14ac:dyDescent="0.3">
      <c r="A2078" s="1" t="str">
        <f t="shared" si="617"/>
        <v>ZC</v>
      </c>
      <c r="B2078" s="1" t="str">
        <f>"EMP202"</f>
        <v>EMP202</v>
      </c>
      <c r="C2078" s="1" t="str">
        <f>"적록색약"</f>
        <v>적록색약</v>
      </c>
      <c r="D2078" s="1" t="str">
        <f>"세밀하게 적록색깔을 구별해야되는 직종외 근무가능 합니다."</f>
        <v>세밀하게 적록색깔을 구별해야되는 직종외 근무가능 합니다.</v>
      </c>
      <c r="E2078" s="1" t="str">
        <f>"WOK02"</f>
        <v>WOK02</v>
      </c>
      <c r="F2078" s="1" t="str">
        <f>"PTM00"</f>
        <v>PTM00</v>
      </c>
      <c r="G2078" s="1" t="str">
        <f>"DISH"</f>
        <v>DISH</v>
      </c>
      <c r="H2078" s="1" t="str">
        <f>"REL14"</f>
        <v>REL14</v>
      </c>
      <c r="I2078" s="1" t="str">
        <f>""</f>
        <v/>
      </c>
      <c r="J2078" s="1" t="str">
        <f>""</f>
        <v/>
      </c>
      <c r="K2078" s="1" t="str">
        <f>""</f>
        <v/>
      </c>
      <c r="L2078" s="1" t="str">
        <f t="shared" si="620"/>
        <v>R</v>
      </c>
      <c r="M2078" s="1" t="str">
        <f>"T09"</f>
        <v>T09</v>
      </c>
      <c r="N2078" s="1" t="str">
        <f t="shared" si="621"/>
        <v>Y</v>
      </c>
      <c r="O2078" s="1" t="str">
        <f t="shared" si="625"/>
        <v>Y</v>
      </c>
      <c r="P2078" s="1" t="str">
        <f t="shared" si="624"/>
        <v>Y</v>
      </c>
      <c r="Q2078" s="1" t="str">
        <f t="shared" si="626"/>
        <v>A</v>
      </c>
    </row>
    <row r="2079" spans="1:17" x14ac:dyDescent="0.3">
      <c r="A2079" s="1" t="str">
        <f t="shared" si="617"/>
        <v>ZC</v>
      </c>
      <c r="B2079" s="1" t="str">
        <f>"FGNCUS201"</f>
        <v>FGNCUS201</v>
      </c>
      <c r="C2079" s="1" t="str">
        <f>"(경동맥 초음파) 협착"</f>
        <v>(경동맥 초음파) 협착</v>
      </c>
      <c r="D2079" s="1" t="str">
        <f>"경동맥 초음파 검사 결과 협착 소견이 확인됩니다. 신경과 진료를 받으시기 바랍니다."</f>
        <v>경동맥 초음파 검사 결과 협착 소견이 확인됩니다. 신경과 진료를 받으시기 바랍니다.</v>
      </c>
      <c r="E2079" s="1" t="str">
        <f>""</f>
        <v/>
      </c>
      <c r="F2079" s="1" t="str">
        <f>""</f>
        <v/>
      </c>
      <c r="G2079" s="1" t="str">
        <f>""</f>
        <v/>
      </c>
      <c r="H2079" s="1" t="str">
        <f>""</f>
        <v/>
      </c>
      <c r="I2079" s="1" t="str">
        <f>""</f>
        <v/>
      </c>
      <c r="J2079" s="1" t="str">
        <f>""</f>
        <v/>
      </c>
      <c r="K2079" s="1" t="str">
        <f>""</f>
        <v/>
      </c>
      <c r="L2079" s="1" t="str">
        <f t="shared" si="620"/>
        <v>R</v>
      </c>
      <c r="M2079" s="1" t="str">
        <f>""</f>
        <v/>
      </c>
      <c r="N2079" s="1" t="str">
        <f t="shared" si="621"/>
        <v>Y</v>
      </c>
      <c r="O2079" s="1" t="str">
        <f t="shared" si="625"/>
        <v>Y</v>
      </c>
      <c r="P2079" s="1" t="str">
        <f t="shared" si="624"/>
        <v>Y</v>
      </c>
      <c r="Q2079" s="1" t="str">
        <f>""</f>
        <v/>
      </c>
    </row>
    <row r="2080" spans="1:17" x14ac:dyDescent="0.3">
      <c r="A2080" s="1" t="str">
        <f t="shared" si="617"/>
        <v>ZC</v>
      </c>
      <c r="B2080" s="1" t="str">
        <f>"FGNCUS202"</f>
        <v>FGNCUS202</v>
      </c>
      <c r="C2080" s="1" t="str">
        <f>"(경동맥 초음파) 협착 의증"</f>
        <v>(경동맥 초음파) 협착 의증</v>
      </c>
      <c r="D2080" s="1" t="str">
        <f>"경동맥 초음파 검사 결과 협착 의증 소견이 확인됩니다. 신경과 진료를 받으시기 바랍니다."</f>
        <v>경동맥 초음파 검사 결과 협착 의증 소견이 확인됩니다. 신경과 진료를 받으시기 바랍니다.</v>
      </c>
      <c r="E2080" s="1" t="str">
        <f>""</f>
        <v/>
      </c>
      <c r="F2080" s="1" t="str">
        <f>""</f>
        <v/>
      </c>
      <c r="G2080" s="1" t="str">
        <f>""</f>
        <v/>
      </c>
      <c r="H2080" s="1" t="str">
        <f>""</f>
        <v/>
      </c>
      <c r="I2080" s="1" t="str">
        <f>""</f>
        <v/>
      </c>
      <c r="J2080" s="1" t="str">
        <f>""</f>
        <v/>
      </c>
      <c r="K2080" s="1" t="str">
        <f>""</f>
        <v/>
      </c>
      <c r="L2080" s="1" t="str">
        <f t="shared" si="620"/>
        <v>R</v>
      </c>
      <c r="M2080" s="1" t="str">
        <f>""</f>
        <v/>
      </c>
      <c r="N2080" s="1" t="str">
        <f t="shared" si="621"/>
        <v>Y</v>
      </c>
      <c r="O2080" s="1" t="str">
        <f t="shared" si="625"/>
        <v>Y</v>
      </c>
      <c r="P2080" s="1" t="str">
        <f t="shared" si="624"/>
        <v>Y</v>
      </c>
      <c r="Q2080" s="1" t="str">
        <f>""</f>
        <v/>
      </c>
    </row>
    <row r="2081" spans="1:17" x14ac:dyDescent="0.3">
      <c r="A2081" s="1" t="str">
        <f t="shared" si="617"/>
        <v>ZC</v>
      </c>
      <c r="B2081" s="1" t="str">
        <f>"FGNCUS203"</f>
        <v>FGNCUS203</v>
      </c>
      <c r="C2081" s="1" t="str">
        <f>"(경동맥 초음파) 죽상경화성 변화"</f>
        <v>(경동맥 초음파) 죽상경화성 변화</v>
      </c>
      <c r="D2081" s="1" t="str">
        <f>"경동맥 초음파 검사 결과 혈관 내에 죽상경화성 변화 소견이 확인됩니다. 혈관벽이 전반적으로 두꺼워진 상태입니다. 변화를 확인하기 위해 1년 뒤 추적검사 받으시기 바랍니다."</f>
        <v>경동맥 초음파 검사 결과 혈관 내에 죽상경화성 변화 소견이 확인됩니다. 혈관벽이 전반적으로 두꺼워진 상태입니다. 변화를 확인하기 위해 1년 뒤 추적검사 받으시기 바랍니다.</v>
      </c>
      <c r="E2081" s="1" t="str">
        <f>""</f>
        <v/>
      </c>
      <c r="F2081" s="1" t="str">
        <f>""</f>
        <v/>
      </c>
      <c r="G2081" s="1" t="str">
        <f>""</f>
        <v/>
      </c>
      <c r="H2081" s="1" t="str">
        <f>""</f>
        <v/>
      </c>
      <c r="I2081" s="1" t="str">
        <f>""</f>
        <v/>
      </c>
      <c r="J2081" s="1" t="str">
        <f>""</f>
        <v/>
      </c>
      <c r="K2081" s="1" t="str">
        <f>""</f>
        <v/>
      </c>
      <c r="L2081" s="1" t="str">
        <f t="shared" si="620"/>
        <v>R</v>
      </c>
      <c r="M2081" s="1" t="str">
        <f>""</f>
        <v/>
      </c>
      <c r="N2081" s="1" t="str">
        <f t="shared" si="621"/>
        <v>Y</v>
      </c>
      <c r="O2081" s="1" t="str">
        <f t="shared" si="625"/>
        <v>Y</v>
      </c>
      <c r="P2081" s="1" t="str">
        <f t="shared" si="624"/>
        <v>Y</v>
      </c>
      <c r="Q2081" s="1" t="str">
        <f>"A"</f>
        <v>A</v>
      </c>
    </row>
    <row r="2082" spans="1:17" x14ac:dyDescent="0.3">
      <c r="A2082" s="1" t="str">
        <f t="shared" si="617"/>
        <v>ZC</v>
      </c>
      <c r="B2082" s="1" t="str">
        <f>"FGNCUS204"</f>
        <v>FGNCUS204</v>
      </c>
      <c r="C2082" s="1" t="str">
        <f>"(경동맥 초음파) 혈관 내 동맥경화반"</f>
        <v>(경동맥 초음파) 혈관 내 동맥경화반</v>
      </c>
      <c r="D2082" s="1" t="str">
        <f>"경동맥 초음파 검사 결과 혈관 내에 동맥경화반 소견이 확인됩니다. 동맥경화반은 혈관 내로 돌출된 덩어리를 말하며 더 진행할 경우 경동맥 내경을 더 좁게 만들어 혈류 장애를 야기할 수 있습니다.  변화를 확인하기 위해 1년 뒤 추적검사 받으시기 바랍니다."</f>
        <v>경동맥 초음파 검사 결과 혈관 내에 동맥경화반 소견이 확인됩니다. 동맥경화반은 혈관 내로 돌출된 덩어리를 말하며 더 진행할 경우 경동맥 내경을 더 좁게 만들어 혈류 장애를 야기할 수 있습니다.  변화를 확인하기 위해 1년 뒤 추적검사 받으시기 바랍니다.</v>
      </c>
      <c r="E2082" s="1" t="str">
        <f>""</f>
        <v/>
      </c>
      <c r="F2082" s="1" t="str">
        <f>""</f>
        <v/>
      </c>
      <c r="G2082" s="1" t="str">
        <f>""</f>
        <v/>
      </c>
      <c r="H2082" s="1" t="str">
        <f>""</f>
        <v/>
      </c>
      <c r="I2082" s="1" t="str">
        <f>""</f>
        <v/>
      </c>
      <c r="J2082" s="1" t="str">
        <f>""</f>
        <v/>
      </c>
      <c r="K2082" s="1" t="str">
        <f>""</f>
        <v/>
      </c>
      <c r="L2082" s="1" t="str">
        <f t="shared" si="620"/>
        <v>R</v>
      </c>
      <c r="M2082" s="1" t="str">
        <f>""</f>
        <v/>
      </c>
      <c r="N2082" s="1" t="str">
        <f t="shared" si="621"/>
        <v>Y</v>
      </c>
      <c r="O2082" s="1" t="str">
        <f t="shared" si="625"/>
        <v>Y</v>
      </c>
      <c r="P2082" s="1" t="str">
        <f t="shared" si="624"/>
        <v>Y</v>
      </c>
      <c r="Q2082" s="1" t="str">
        <f>""</f>
        <v/>
      </c>
    </row>
    <row r="2083" spans="1:17" x14ac:dyDescent="0.3">
      <c r="A2083" s="1" t="str">
        <f t="shared" si="617"/>
        <v>ZC</v>
      </c>
      <c r="B2083" s="1" t="str">
        <f>"FGNCUS301"</f>
        <v>FGNCUS301</v>
      </c>
      <c r="C2083" s="1" t="str">
        <f>"기타소견"</f>
        <v>기타소견</v>
      </c>
      <c r="D2083" s="1" t="str">
        <f>""</f>
        <v/>
      </c>
      <c r="E2083" s="1" t="str">
        <f>""</f>
        <v/>
      </c>
      <c r="F2083" s="1" t="str">
        <f>""</f>
        <v/>
      </c>
      <c r="G2083" s="1" t="str">
        <f>""</f>
        <v/>
      </c>
      <c r="H2083" s="1" t="str">
        <f>""</f>
        <v/>
      </c>
      <c r="I2083" s="1" t="str">
        <f>""</f>
        <v/>
      </c>
      <c r="J2083" s="1" t="str">
        <f>""</f>
        <v/>
      </c>
      <c r="K2083" s="1" t="str">
        <f>""</f>
        <v/>
      </c>
      <c r="L2083" s="1" t="str">
        <f t="shared" si="620"/>
        <v>R</v>
      </c>
      <c r="M2083" s="1" t="str">
        <f>""</f>
        <v/>
      </c>
      <c r="N2083" s="1" t="str">
        <f t="shared" si="621"/>
        <v>Y</v>
      </c>
      <c r="O2083" s="1" t="str">
        <f t="shared" si="625"/>
        <v>Y</v>
      </c>
      <c r="P2083" s="1" t="str">
        <f t="shared" si="624"/>
        <v>Y</v>
      </c>
      <c r="Q2083" s="1" t="str">
        <f>"A"</f>
        <v>A</v>
      </c>
    </row>
    <row r="2084" spans="1:17" x14ac:dyDescent="0.3">
      <c r="A2084" s="1" t="str">
        <f t="shared" si="617"/>
        <v>ZC</v>
      </c>
      <c r="B2084" s="1" t="str">
        <f>"FGNCUS302"</f>
        <v>FGNCUS302</v>
      </c>
      <c r="C2084" s="1" t="str">
        <f>"(경동맥 초음파) 혈관 내막 비후"</f>
        <v>(경동맥 초음파) 혈관 내막 비후</v>
      </c>
      <c r="D2084" s="1" t="str">
        <f>"경동맥 초음파 검사 결과 혈관 내막 비후 소견이 확인됩니다. 혈관 내막 비후는 혈관 내막에 지질이 침착된 경우 나타날 수 있으며 더 진행할 경우 동맥경화반 및 협착을 야기할 수 있습니다. 변화를 확인하기 위해 1년 뒤 추적검사 받으시기 바랍니다."</f>
        <v>경동맥 초음파 검사 결과 혈관 내막 비후 소견이 확인됩니다. 혈관 내막 비후는 혈관 내막에 지질이 침착된 경우 나타날 수 있으며 더 진행할 경우 동맥경화반 및 협착을 야기할 수 있습니다. 변화를 확인하기 위해 1년 뒤 추적검사 받으시기 바랍니다.</v>
      </c>
      <c r="E2084" s="1" t="str">
        <f>""</f>
        <v/>
      </c>
      <c r="F2084" s="1" t="str">
        <f>""</f>
        <v/>
      </c>
      <c r="G2084" s="1" t="str">
        <f>""</f>
        <v/>
      </c>
      <c r="H2084" s="1" t="str">
        <f>""</f>
        <v/>
      </c>
      <c r="I2084" s="1" t="str">
        <f>""</f>
        <v/>
      </c>
      <c r="J2084" s="1" t="str">
        <f>""</f>
        <v/>
      </c>
      <c r="K2084" s="1" t="str">
        <f>""</f>
        <v/>
      </c>
      <c r="L2084" s="1" t="str">
        <f t="shared" si="620"/>
        <v>R</v>
      </c>
      <c r="M2084" s="1" t="str">
        <f>""</f>
        <v/>
      </c>
      <c r="N2084" s="1" t="str">
        <f t="shared" si="621"/>
        <v>Y</v>
      </c>
      <c r="O2084" s="1" t="str">
        <f t="shared" si="625"/>
        <v>Y</v>
      </c>
      <c r="P2084" s="1" t="str">
        <f t="shared" si="624"/>
        <v>Y</v>
      </c>
      <c r="Q2084" s="1" t="str">
        <f>""</f>
        <v/>
      </c>
    </row>
    <row r="2085" spans="1:17" x14ac:dyDescent="0.3">
      <c r="A2085" s="1" t="str">
        <f t="shared" si="617"/>
        <v>ZC</v>
      </c>
      <c r="B2085" s="1" t="str">
        <f>"FGNCUS303"</f>
        <v>FGNCUS303</v>
      </c>
      <c r="C2085" s="1" t="str">
        <f>"(경동맥 초음파) 혈류 속도 증가"</f>
        <v>(경동맥 초음파) 혈류 속도 증가</v>
      </c>
      <c r="D2085" s="1" t="str">
        <f>"경동맥 초음파 검사 결과 혈류 속도 증가 소견이 확인됩니다. 경동맥 내 혈류 속도 증가는 경동맥이 좁아진 경우(협착) 나타날 수 있습니다. 변화를 확인하기 위해 1년 뒤 추적검사 받으시기 바랍니다."</f>
        <v>경동맥 초음파 검사 결과 혈류 속도 증가 소견이 확인됩니다. 경동맥 내 혈류 속도 증가는 경동맥이 좁아진 경우(협착) 나타날 수 있습니다. 변화를 확인하기 위해 1년 뒤 추적검사 받으시기 바랍니다.</v>
      </c>
      <c r="E2085" s="1" t="str">
        <f>""</f>
        <v/>
      </c>
      <c r="F2085" s="1" t="str">
        <f>""</f>
        <v/>
      </c>
      <c r="G2085" s="1" t="str">
        <f>""</f>
        <v/>
      </c>
      <c r="H2085" s="1" t="str">
        <f>""</f>
        <v/>
      </c>
      <c r="I2085" s="1" t="str">
        <f>""</f>
        <v/>
      </c>
      <c r="J2085" s="1" t="str">
        <f>""</f>
        <v/>
      </c>
      <c r="K2085" s="1" t="str">
        <f>""</f>
        <v/>
      </c>
      <c r="L2085" s="1" t="str">
        <f t="shared" si="620"/>
        <v>R</v>
      </c>
      <c r="M2085" s="1" t="str">
        <f>""</f>
        <v/>
      </c>
      <c r="N2085" s="1" t="str">
        <f t="shared" si="621"/>
        <v>Y</v>
      </c>
      <c r="O2085" s="1" t="str">
        <f t="shared" si="625"/>
        <v>Y</v>
      </c>
      <c r="P2085" s="1" t="str">
        <f t="shared" si="624"/>
        <v>Y</v>
      </c>
      <c r="Q2085" s="1" t="str">
        <f>""</f>
        <v/>
      </c>
    </row>
    <row r="2086" spans="1:17" x14ac:dyDescent="0.3">
      <c r="A2086" s="1" t="str">
        <f t="shared" si="617"/>
        <v>ZC</v>
      </c>
      <c r="B2086" s="1" t="str">
        <f>"FGNCUS304"</f>
        <v>FGNCUS304</v>
      </c>
      <c r="C2086" s="1" t="str">
        <f>"(경동맥 초음파) 미만성 갑상선 질환 의증(갑상선기능검사 정상)"</f>
        <v>(경동맥 초음파) 미만성 갑상선 질환 의증(갑상선기능검사 정상)</v>
      </c>
      <c r="D2086" s="1" t="s">
        <v>590</v>
      </c>
      <c r="E2086" s="1" t="str">
        <f>""</f>
        <v/>
      </c>
      <c r="F2086" s="1" t="str">
        <f>""</f>
        <v/>
      </c>
      <c r="G2086" s="1" t="str">
        <f>""</f>
        <v/>
      </c>
      <c r="H2086" s="1" t="str">
        <f>""</f>
        <v/>
      </c>
      <c r="I2086" s="1" t="str">
        <f>""</f>
        <v/>
      </c>
      <c r="J2086" s="1" t="str">
        <f>""</f>
        <v/>
      </c>
      <c r="K2086" s="1" t="str">
        <f>""</f>
        <v/>
      </c>
      <c r="L2086" s="1" t="str">
        <f t="shared" si="620"/>
        <v>R</v>
      </c>
      <c r="M2086" s="1" t="str">
        <f>""</f>
        <v/>
      </c>
      <c r="N2086" s="1" t="str">
        <f t="shared" si="621"/>
        <v>Y</v>
      </c>
      <c r="O2086" s="1" t="str">
        <f t="shared" si="625"/>
        <v>Y</v>
      </c>
      <c r="P2086" s="1" t="str">
        <f t="shared" si="624"/>
        <v>Y</v>
      </c>
      <c r="Q2086" s="1" t="str">
        <f>""</f>
        <v/>
      </c>
    </row>
    <row r="2087" spans="1:17" x14ac:dyDescent="0.3">
      <c r="A2087" s="1" t="str">
        <f t="shared" si="617"/>
        <v>ZC</v>
      </c>
      <c r="B2087" s="1" t="str">
        <f>"FGNCUS305"</f>
        <v>FGNCUS305</v>
      </c>
      <c r="C2087" s="1" t="str">
        <f>"(경동맥 초음파) 미만성 갑상선 질환 의증(갑상선기능검사 비정상)"</f>
        <v>(경동맥 초음파) 미만성 갑상선 질환 의증(갑상선기능검사 비정상)</v>
      </c>
      <c r="D2087" s="1" t="str">
        <f>"경동맥 초음파 검사 결과 갑상선염 등 갑상선 질환 의심 소견 확인되며 갑상선기능검사 결과 비정상 소견 확인됩니다. 내분비내과 진료를 받으시기 바랍니다."</f>
        <v>경동맥 초음파 검사 결과 갑상선염 등 갑상선 질환 의심 소견 확인되며 갑상선기능검사 결과 비정상 소견 확인됩니다. 내분비내과 진료를 받으시기 바랍니다.</v>
      </c>
      <c r="E2087" s="1" t="str">
        <f>""</f>
        <v/>
      </c>
      <c r="F2087" s="1" t="str">
        <f>""</f>
        <v/>
      </c>
      <c r="G2087" s="1" t="str">
        <f>""</f>
        <v/>
      </c>
      <c r="H2087" s="1" t="str">
        <f>""</f>
        <v/>
      </c>
      <c r="I2087" s="1" t="str">
        <f>""</f>
        <v/>
      </c>
      <c r="J2087" s="1" t="str">
        <f>""</f>
        <v/>
      </c>
      <c r="K2087" s="1" t="str">
        <f>""</f>
        <v/>
      </c>
      <c r="L2087" s="1" t="str">
        <f t="shared" si="620"/>
        <v>R</v>
      </c>
      <c r="M2087" s="1" t="str">
        <f>""</f>
        <v/>
      </c>
      <c r="N2087" s="1" t="str">
        <f t="shared" si="621"/>
        <v>Y</v>
      </c>
      <c r="O2087" s="1" t="str">
        <f t="shared" si="625"/>
        <v>Y</v>
      </c>
      <c r="P2087" s="1" t="str">
        <f t="shared" si="624"/>
        <v>Y</v>
      </c>
      <c r="Q2087" s="1" t="str">
        <f>""</f>
        <v/>
      </c>
    </row>
    <row r="2088" spans="1:17" x14ac:dyDescent="0.3">
      <c r="A2088" s="1" t="str">
        <f t="shared" si="617"/>
        <v>ZC</v>
      </c>
      <c r="B2088" s="1" t="str">
        <f>"GES308"</f>
        <v>GES308</v>
      </c>
      <c r="C2088" s="1" t="str">
        <f>"역류성식도염"</f>
        <v>역류성식도염</v>
      </c>
      <c r="D2088" s="1" t="s">
        <v>591</v>
      </c>
      <c r="E2088" s="1" t="str">
        <f>""</f>
        <v/>
      </c>
      <c r="F2088" s="1" t="str">
        <f>""</f>
        <v/>
      </c>
      <c r="G2088" s="1" t="str">
        <f>""</f>
        <v/>
      </c>
      <c r="H2088" s="1" t="str">
        <f>""</f>
        <v/>
      </c>
      <c r="I2088" s="1" t="str">
        <f>""</f>
        <v/>
      </c>
      <c r="J2088" s="1" t="str">
        <f>""</f>
        <v/>
      </c>
      <c r="K2088" s="1" t="str">
        <f>""</f>
        <v/>
      </c>
      <c r="L2088" s="1" t="str">
        <f t="shared" si="620"/>
        <v>R</v>
      </c>
      <c r="M2088" s="1" t="str">
        <f>""</f>
        <v/>
      </c>
      <c r="N2088" s="1" t="str">
        <f t="shared" si="621"/>
        <v>Y</v>
      </c>
      <c r="O2088" s="1" t="str">
        <f t="shared" si="625"/>
        <v>Y</v>
      </c>
      <c r="P2088" s="1" t="str">
        <f t="shared" si="624"/>
        <v>Y</v>
      </c>
      <c r="Q2088" s="1" t="str">
        <f>"A"</f>
        <v>A</v>
      </c>
    </row>
    <row r="2089" spans="1:17" x14ac:dyDescent="0.3">
      <c r="A2089" s="1" t="str">
        <f t="shared" si="617"/>
        <v>ZC</v>
      </c>
      <c r="B2089" s="1" t="str">
        <f>"GGFS002"</f>
        <v>GGFS002</v>
      </c>
      <c r="C2089" s="1" t="str">
        <f>"기타(직접기입)"</f>
        <v>기타(직접기입)</v>
      </c>
      <c r="D2089" s="1" t="str">
        <f>"위내시경 검사에서"</f>
        <v>위내시경 검사에서</v>
      </c>
      <c r="E2089" s="1" t="str">
        <f>""</f>
        <v/>
      </c>
      <c r="F2089" s="1" t="str">
        <f>""</f>
        <v/>
      </c>
      <c r="G2089" s="1" t="str">
        <f>""</f>
        <v/>
      </c>
      <c r="H2089" s="1" t="str">
        <f>""</f>
        <v/>
      </c>
      <c r="I2089" s="1" t="str">
        <f>""</f>
        <v/>
      </c>
      <c r="J2089" s="1" t="str">
        <f>""</f>
        <v/>
      </c>
      <c r="K2089" s="1" t="str">
        <f>""</f>
        <v/>
      </c>
      <c r="L2089" s="1" t="str">
        <f t="shared" si="620"/>
        <v>R</v>
      </c>
      <c r="M2089" s="1" t="str">
        <f>""</f>
        <v/>
      </c>
      <c r="N2089" s="1" t="str">
        <f t="shared" si="621"/>
        <v>Y</v>
      </c>
      <c r="O2089" s="1" t="str">
        <f t="shared" si="625"/>
        <v>Y</v>
      </c>
      <c r="P2089" s="1" t="str">
        <f t="shared" si="624"/>
        <v>Y</v>
      </c>
      <c r="Q2089" s="1" t="str">
        <f>""</f>
        <v/>
      </c>
    </row>
    <row r="2090" spans="1:17" x14ac:dyDescent="0.3">
      <c r="A2090" s="1" t="str">
        <f t="shared" si="617"/>
        <v>ZC</v>
      </c>
      <c r="B2090" s="1" t="str">
        <f>"GGFS003"</f>
        <v>GGFS003</v>
      </c>
      <c r="C2090" s="1" t="str">
        <f>"위 조직검사 결과 (직접기입)"</f>
        <v>위 조직검사 결과 (직접기입)</v>
      </c>
      <c r="D2090" s="1" t="s">
        <v>592</v>
      </c>
      <c r="E2090" s="1" t="str">
        <f>""</f>
        <v/>
      </c>
      <c r="F2090" s="1" t="str">
        <f>""</f>
        <v/>
      </c>
      <c r="G2090" s="1" t="str">
        <f>""</f>
        <v/>
      </c>
      <c r="H2090" s="1" t="str">
        <f>""</f>
        <v/>
      </c>
      <c r="I2090" s="1" t="str">
        <f>""</f>
        <v/>
      </c>
      <c r="J2090" s="1" t="str">
        <f>""</f>
        <v/>
      </c>
      <c r="K2090" s="1" t="str">
        <f>""</f>
        <v/>
      </c>
      <c r="L2090" s="1" t="str">
        <f t="shared" si="620"/>
        <v>R</v>
      </c>
      <c r="M2090" s="1" t="str">
        <f>""</f>
        <v/>
      </c>
      <c r="N2090" s="1" t="str">
        <f t="shared" si="621"/>
        <v>Y</v>
      </c>
      <c r="O2090" s="1" t="str">
        <f t="shared" si="625"/>
        <v>Y</v>
      </c>
      <c r="P2090" s="1" t="str">
        <f t="shared" si="624"/>
        <v>Y</v>
      </c>
      <c r="Q2090" s="1" t="str">
        <f>""</f>
        <v/>
      </c>
    </row>
    <row r="2091" spans="1:17" x14ac:dyDescent="0.3">
      <c r="A2091" s="1" t="str">
        <f t="shared" si="617"/>
        <v>ZC</v>
      </c>
      <c r="B2091" s="1" t="str">
        <f>"GGFS004"</f>
        <v>GGFS004</v>
      </c>
      <c r="C2091" s="1" t="str">
        <f>"식도극세포증"</f>
        <v>식도극세포증</v>
      </c>
      <c r="D2091" s="1" t="s">
        <v>593</v>
      </c>
      <c r="E2091" s="1" t="str">
        <f>""</f>
        <v/>
      </c>
      <c r="F2091" s="1" t="str">
        <f>""</f>
        <v/>
      </c>
      <c r="G2091" s="1" t="str">
        <f>""</f>
        <v/>
      </c>
      <c r="H2091" s="1" t="str">
        <f>""</f>
        <v/>
      </c>
      <c r="I2091" s="1" t="str">
        <f>""</f>
        <v/>
      </c>
      <c r="J2091" s="1" t="str">
        <f>""</f>
        <v/>
      </c>
      <c r="K2091" s="1" t="str">
        <f>""</f>
        <v/>
      </c>
      <c r="L2091" s="1" t="str">
        <f t="shared" si="620"/>
        <v>R</v>
      </c>
      <c r="M2091" s="1" t="str">
        <f>""</f>
        <v/>
      </c>
      <c r="N2091" s="1" t="str">
        <f t="shared" si="621"/>
        <v>Y</v>
      </c>
      <c r="O2091" s="1" t="str">
        <f t="shared" si="625"/>
        <v>Y</v>
      </c>
      <c r="P2091" s="1" t="str">
        <f t="shared" si="624"/>
        <v>Y</v>
      </c>
      <c r="Q2091" s="1" t="str">
        <f>""</f>
        <v/>
      </c>
    </row>
    <row r="2092" spans="1:17" x14ac:dyDescent="0.3">
      <c r="A2092" s="1" t="str">
        <f t="shared" si="617"/>
        <v>ZC</v>
      </c>
      <c r="B2092" s="1" t="str">
        <f>"GGFS005"</f>
        <v>GGFS005</v>
      </c>
      <c r="C2092" s="1" t="str">
        <f>"식도궤양"</f>
        <v>식도궤양</v>
      </c>
      <c r="D2092" s="1" t="str">
        <f>"식도에서 궤양이 관찰되었습니다. 치료를 위해 소화기내과 진료를 받으시기 바랍니다."</f>
        <v>식도에서 궤양이 관찰되었습니다. 치료를 위해 소화기내과 진료를 받으시기 바랍니다.</v>
      </c>
      <c r="E2092" s="1" t="str">
        <f>""</f>
        <v/>
      </c>
      <c r="F2092" s="1" t="str">
        <f>""</f>
        <v/>
      </c>
      <c r="G2092" s="1" t="str">
        <f>""</f>
        <v/>
      </c>
      <c r="H2092" s="1" t="str">
        <f>""</f>
        <v/>
      </c>
      <c r="I2092" s="1" t="str">
        <f>""</f>
        <v/>
      </c>
      <c r="J2092" s="1" t="str">
        <f>""</f>
        <v/>
      </c>
      <c r="K2092" s="1" t="str">
        <f>""</f>
        <v/>
      </c>
      <c r="L2092" s="1" t="str">
        <f t="shared" si="620"/>
        <v>R</v>
      </c>
      <c r="M2092" s="1" t="str">
        <f>""</f>
        <v/>
      </c>
      <c r="N2092" s="1" t="str">
        <f t="shared" si="621"/>
        <v>Y</v>
      </c>
      <c r="O2092" s="1" t="str">
        <f t="shared" si="625"/>
        <v>Y</v>
      </c>
      <c r="P2092" s="1" t="str">
        <f t="shared" si="624"/>
        <v>Y</v>
      </c>
      <c r="Q2092" s="1" t="str">
        <f>""</f>
        <v/>
      </c>
    </row>
    <row r="2093" spans="1:17" x14ac:dyDescent="0.3">
      <c r="A2093" s="1" t="str">
        <f t="shared" si="617"/>
        <v>ZC</v>
      </c>
      <c r="B2093" s="1" t="str">
        <f>"GGFS006"</f>
        <v>GGFS006</v>
      </c>
      <c r="C2093" s="1" t="str">
        <f>"식도유두종"</f>
        <v>식도유두종</v>
      </c>
      <c r="D2093" s="1" t="str">
        <f>"위내시경 검사에서 식도에 유두종이 관찰됩니다. 이는 인간유두바이러스(HPV)의 감염이 원인이 되어 발생하는 작은 종괴입니다. 식도암과 무관하다고 알려져 있으며 특별한 치료도 필요치 않습니다."</f>
        <v>위내시경 검사에서 식도에 유두종이 관찰됩니다. 이는 인간유두바이러스(HPV)의 감염이 원인이 되어 발생하는 작은 종괴입니다. 식도암과 무관하다고 알려져 있으며 특별한 치료도 필요치 않습니다.</v>
      </c>
      <c r="E2093" s="1" t="str">
        <f>""</f>
        <v/>
      </c>
      <c r="F2093" s="1" t="str">
        <f>""</f>
        <v/>
      </c>
      <c r="G2093" s="1" t="str">
        <f>""</f>
        <v/>
      </c>
      <c r="H2093" s="1" t="str">
        <f>""</f>
        <v/>
      </c>
      <c r="I2093" s="1" t="str">
        <f>""</f>
        <v/>
      </c>
      <c r="J2093" s="1" t="str">
        <f>""</f>
        <v/>
      </c>
      <c r="K2093" s="1" t="str">
        <f>""</f>
        <v/>
      </c>
      <c r="L2093" s="1" t="str">
        <f t="shared" si="620"/>
        <v>R</v>
      </c>
      <c r="M2093" s="1" t="str">
        <f>""</f>
        <v/>
      </c>
      <c r="N2093" s="1" t="str">
        <f t="shared" si="621"/>
        <v>Y</v>
      </c>
      <c r="O2093" s="1" t="str">
        <f t="shared" si="625"/>
        <v>Y</v>
      </c>
      <c r="P2093" s="1" t="str">
        <f t="shared" si="624"/>
        <v>Y</v>
      </c>
      <c r="Q2093" s="1" t="str">
        <f>""</f>
        <v/>
      </c>
    </row>
    <row r="2094" spans="1:17" x14ac:dyDescent="0.3">
      <c r="A2094" s="1" t="str">
        <f t="shared" si="617"/>
        <v>ZC</v>
      </c>
      <c r="B2094" s="1" t="str">
        <f>"GGFS007"</f>
        <v>GGFS007</v>
      </c>
      <c r="C2094" s="1" t="str">
        <f>"황색종"</f>
        <v>황색종</v>
      </c>
      <c r="D2094" s="1" t="s">
        <v>594</v>
      </c>
      <c r="E2094" s="1" t="str">
        <f>""</f>
        <v/>
      </c>
      <c r="F2094" s="1" t="str">
        <f>""</f>
        <v/>
      </c>
      <c r="G2094" s="1" t="str">
        <f>""</f>
        <v/>
      </c>
      <c r="H2094" s="1" t="str">
        <f>""</f>
        <v/>
      </c>
      <c r="I2094" s="1" t="str">
        <f>""</f>
        <v/>
      </c>
      <c r="J2094" s="1" t="str">
        <f>""</f>
        <v/>
      </c>
      <c r="K2094" s="1" t="str">
        <f>""</f>
        <v/>
      </c>
      <c r="L2094" s="1" t="str">
        <f t="shared" si="620"/>
        <v>R</v>
      </c>
      <c r="M2094" s="1" t="str">
        <f>""</f>
        <v/>
      </c>
      <c r="N2094" s="1" t="str">
        <f t="shared" si="621"/>
        <v>Y</v>
      </c>
      <c r="O2094" s="1" t="str">
        <f t="shared" si="625"/>
        <v>Y</v>
      </c>
      <c r="P2094" s="1" t="str">
        <f t="shared" si="624"/>
        <v>Y</v>
      </c>
      <c r="Q2094" s="1" t="str">
        <f>""</f>
        <v/>
      </c>
    </row>
    <row r="2095" spans="1:17" x14ac:dyDescent="0.3">
      <c r="A2095" s="1" t="str">
        <f t="shared" si="617"/>
        <v>ZC</v>
      </c>
      <c r="B2095" s="1" t="str">
        <f>"GGFS008"</f>
        <v>GGFS008</v>
      </c>
      <c r="C2095" s="1" t="str">
        <f>"위 혈관이형성증"</f>
        <v>위 혈관이형성증</v>
      </c>
      <c r="D2095" s="1" t="str">
        <f>"위내시경 검사에서 혈관이형성 소견이 보입니다. 혈관이형성은 혈관이 확장되고 굴곡되며 얇은 혈관벽을 가지는 퇴행성 병변입니다. 간혹 위출혈의 원인이 되기도 하지만 증상이 없다면 경과 관찰 가능합니다. 정기검진 하시기 바랍니다."</f>
        <v>위내시경 검사에서 혈관이형성 소견이 보입니다. 혈관이형성은 혈관이 확장되고 굴곡되며 얇은 혈관벽을 가지는 퇴행성 병변입니다. 간혹 위출혈의 원인이 되기도 하지만 증상이 없다면 경과 관찰 가능합니다. 정기검진 하시기 바랍니다.</v>
      </c>
      <c r="E2095" s="1" t="str">
        <f>""</f>
        <v/>
      </c>
      <c r="F2095" s="1" t="str">
        <f>""</f>
        <v/>
      </c>
      <c r="G2095" s="1" t="str">
        <f>""</f>
        <v/>
      </c>
      <c r="H2095" s="1" t="str">
        <f>""</f>
        <v/>
      </c>
      <c r="I2095" s="1" t="str">
        <f>""</f>
        <v/>
      </c>
      <c r="J2095" s="1" t="str">
        <f>""</f>
        <v/>
      </c>
      <c r="K2095" s="1" t="str">
        <f>""</f>
        <v/>
      </c>
      <c r="L2095" s="1" t="str">
        <f t="shared" si="620"/>
        <v>R</v>
      </c>
      <c r="M2095" s="1" t="str">
        <f>""</f>
        <v/>
      </c>
      <c r="N2095" s="1" t="str">
        <f t="shared" si="621"/>
        <v>Y</v>
      </c>
      <c r="O2095" s="1" t="str">
        <f t="shared" si="625"/>
        <v>Y</v>
      </c>
      <c r="P2095" s="1" t="str">
        <f t="shared" si="624"/>
        <v>Y</v>
      </c>
      <c r="Q2095" s="1" t="str">
        <f>""</f>
        <v/>
      </c>
    </row>
    <row r="2096" spans="1:17" x14ac:dyDescent="0.3">
      <c r="A2096" s="1" t="str">
        <f t="shared" si="617"/>
        <v>ZC</v>
      </c>
      <c r="B2096" s="1" t="str">
        <f>"GGFS009"</f>
        <v>GGFS009</v>
      </c>
      <c r="C2096" s="1" t="str">
        <f>"위내시경:외부압박"</f>
        <v>위내시경:외부압박</v>
      </c>
      <c r="D2096" s="1" t="str">
        <f>"위내시경 검사에서 외부 압박이 관찰됩니다. 추가검사의 필요성에 대하여 소화기내과 진료를 받고 상의하기 바랍니다."</f>
        <v>위내시경 검사에서 외부 압박이 관찰됩니다. 추가검사의 필요성에 대하여 소화기내과 진료를 받고 상의하기 바랍니다.</v>
      </c>
      <c r="E2096" s="1" t="str">
        <f>""</f>
        <v/>
      </c>
      <c r="F2096" s="1" t="str">
        <f>""</f>
        <v/>
      </c>
      <c r="G2096" s="1" t="str">
        <f>""</f>
        <v/>
      </c>
      <c r="H2096" s="1" t="str">
        <f>""</f>
        <v/>
      </c>
      <c r="I2096" s="1" t="str">
        <f>""</f>
        <v/>
      </c>
      <c r="J2096" s="1" t="str">
        <f>""</f>
        <v/>
      </c>
      <c r="K2096" s="1" t="str">
        <f>""</f>
        <v/>
      </c>
      <c r="L2096" s="1" t="str">
        <f t="shared" si="620"/>
        <v>R</v>
      </c>
      <c r="M2096" s="1" t="str">
        <f>""</f>
        <v/>
      </c>
      <c r="N2096" s="1" t="str">
        <f t="shared" si="621"/>
        <v>Y</v>
      </c>
      <c r="O2096" s="1" t="str">
        <f t="shared" si="625"/>
        <v>Y</v>
      </c>
      <c r="P2096" s="1" t="str">
        <f t="shared" si="624"/>
        <v>Y</v>
      </c>
      <c r="Q2096" s="1" t="str">
        <f>""</f>
        <v/>
      </c>
    </row>
    <row r="2097" spans="1:17" x14ac:dyDescent="0.3">
      <c r="A2097" s="1" t="str">
        <f t="shared" si="617"/>
        <v>ZC</v>
      </c>
      <c r="B2097" s="1" t="str">
        <f>"GGFS010"</f>
        <v>GGFS010</v>
      </c>
      <c r="C2097" s="1" t="str">
        <f>"이소성 위점막"</f>
        <v>이소성 위점막</v>
      </c>
      <c r="D2097" s="1" t="str">
        <f>"위내시경 검사에서 이소성 위점막이 관찰됩니다."</f>
        <v>위내시경 검사에서 이소성 위점막이 관찰됩니다.</v>
      </c>
      <c r="E2097" s="1" t="str">
        <f>""</f>
        <v/>
      </c>
      <c r="F2097" s="1" t="str">
        <f>""</f>
        <v/>
      </c>
      <c r="G2097" s="1" t="str">
        <f>""</f>
        <v/>
      </c>
      <c r="H2097" s="1" t="str">
        <f>""</f>
        <v/>
      </c>
      <c r="I2097" s="1" t="str">
        <f>""</f>
        <v/>
      </c>
      <c r="J2097" s="1" t="str">
        <f>""</f>
        <v/>
      </c>
      <c r="K2097" s="1" t="str">
        <f>""</f>
        <v/>
      </c>
      <c r="L2097" s="1" t="str">
        <f t="shared" si="620"/>
        <v>R</v>
      </c>
      <c r="M2097" s="1" t="str">
        <f>""</f>
        <v/>
      </c>
      <c r="N2097" s="1" t="str">
        <f t="shared" si="621"/>
        <v>Y</v>
      </c>
      <c r="O2097" s="1" t="str">
        <f t="shared" si="625"/>
        <v>Y</v>
      </c>
      <c r="P2097" s="1" t="str">
        <f t="shared" si="624"/>
        <v>Y</v>
      </c>
      <c r="Q2097" s="1" t="str">
        <f>""</f>
        <v/>
      </c>
    </row>
    <row r="2098" spans="1:17" x14ac:dyDescent="0.3">
      <c r="A2098" s="1" t="str">
        <f t="shared" si="617"/>
        <v>ZC</v>
      </c>
      <c r="B2098" s="1" t="str">
        <f>"GGFS011"</f>
        <v>GGFS011</v>
      </c>
      <c r="C2098" s="1" t="str">
        <f>"보초 용종"</f>
        <v>보초 용종</v>
      </c>
      <c r="D2098" s="1" t="s">
        <v>595</v>
      </c>
      <c r="E2098" s="1" t="str">
        <f>""</f>
        <v/>
      </c>
      <c r="F2098" s="1" t="str">
        <f>""</f>
        <v/>
      </c>
      <c r="G2098" s="1" t="str">
        <f>""</f>
        <v/>
      </c>
      <c r="H2098" s="1" t="str">
        <f>""</f>
        <v/>
      </c>
      <c r="I2098" s="1" t="str">
        <f>""</f>
        <v/>
      </c>
      <c r="J2098" s="1" t="str">
        <f>""</f>
        <v/>
      </c>
      <c r="K2098" s="1" t="str">
        <f>""</f>
        <v/>
      </c>
      <c r="L2098" s="1" t="str">
        <f t="shared" si="620"/>
        <v>R</v>
      </c>
      <c r="M2098" s="1" t="str">
        <f>""</f>
        <v/>
      </c>
      <c r="N2098" s="1" t="str">
        <f t="shared" si="621"/>
        <v>Y</v>
      </c>
      <c r="O2098" s="1" t="str">
        <f t="shared" si="625"/>
        <v>Y</v>
      </c>
      <c r="P2098" s="1" t="str">
        <f t="shared" si="624"/>
        <v>Y</v>
      </c>
      <c r="Q2098" s="1" t="str">
        <f>""</f>
        <v/>
      </c>
    </row>
    <row r="2099" spans="1:17" x14ac:dyDescent="0.3">
      <c r="A2099" s="1" t="str">
        <f t="shared" si="617"/>
        <v>ZC</v>
      </c>
      <c r="B2099" s="1" t="str">
        <f>"GGFS012"</f>
        <v>GGFS012</v>
      </c>
      <c r="C2099" s="1" t="str">
        <f>"말로리-바이스 증후군"</f>
        <v>말로리-바이스 증후군</v>
      </c>
      <c r="D2099" s="1" t="s">
        <v>596</v>
      </c>
      <c r="E2099" s="1" t="str">
        <f>""</f>
        <v/>
      </c>
      <c r="F2099" s="1" t="str">
        <f>""</f>
        <v/>
      </c>
      <c r="G2099" s="1" t="str">
        <f>""</f>
        <v/>
      </c>
      <c r="H2099" s="1" t="str">
        <f>""</f>
        <v/>
      </c>
      <c r="I2099" s="1" t="str">
        <f>""</f>
        <v/>
      </c>
      <c r="J2099" s="1" t="str">
        <f>""</f>
        <v/>
      </c>
      <c r="K2099" s="1" t="str">
        <f>""</f>
        <v/>
      </c>
      <c r="L2099" s="1" t="str">
        <f t="shared" si="620"/>
        <v>R</v>
      </c>
      <c r="M2099" s="1" t="str">
        <f>""</f>
        <v/>
      </c>
      <c r="N2099" s="1" t="str">
        <f t="shared" si="621"/>
        <v>Y</v>
      </c>
      <c r="O2099" s="1" t="str">
        <f t="shared" si="625"/>
        <v>Y</v>
      </c>
      <c r="P2099" s="1" t="str">
        <f t="shared" si="624"/>
        <v>Y</v>
      </c>
      <c r="Q2099" s="1" t="str">
        <f>""</f>
        <v/>
      </c>
    </row>
    <row r="2100" spans="1:17" x14ac:dyDescent="0.3">
      <c r="A2100" s="1" t="str">
        <f t="shared" si="617"/>
        <v>ZC</v>
      </c>
      <c r="B2100" s="1" t="str">
        <f>"GGFS013"</f>
        <v>GGFS013</v>
      </c>
      <c r="C2100" s="1" t="str">
        <f>"캔디다 식도염"</f>
        <v>캔디다 식도염</v>
      </c>
      <c r="D2100" s="1" t="str">
        <f>"위내시경 검사에서 식도에 캔디다성 식도염이 관찰되었습니다. 캔디다란 곰팡이의 일종으로 증상이 있는 경우 약물치료를 받으시기 바랍니다."</f>
        <v>위내시경 검사에서 식도에 캔디다성 식도염이 관찰되었습니다. 캔디다란 곰팡이의 일종으로 증상이 있는 경우 약물치료를 받으시기 바랍니다.</v>
      </c>
      <c r="E2100" s="1" t="str">
        <f>""</f>
        <v/>
      </c>
      <c r="F2100" s="1" t="str">
        <f>""</f>
        <v/>
      </c>
      <c r="G2100" s="1" t="str">
        <f>""</f>
        <v/>
      </c>
      <c r="H2100" s="1" t="str">
        <f>""</f>
        <v/>
      </c>
      <c r="I2100" s="1" t="str">
        <f>""</f>
        <v/>
      </c>
      <c r="J2100" s="1" t="str">
        <f>""</f>
        <v/>
      </c>
      <c r="K2100" s="1" t="str">
        <f>""</f>
        <v/>
      </c>
      <c r="L2100" s="1" t="str">
        <f t="shared" si="620"/>
        <v>R</v>
      </c>
      <c r="M2100" s="1" t="str">
        <f>""</f>
        <v/>
      </c>
      <c r="N2100" s="1" t="str">
        <f t="shared" si="621"/>
        <v>Y</v>
      </c>
      <c r="O2100" s="1" t="str">
        <f t="shared" si="625"/>
        <v>Y</v>
      </c>
      <c r="P2100" s="1" t="str">
        <f t="shared" si="624"/>
        <v>Y</v>
      </c>
      <c r="Q2100" s="1" t="str">
        <f>""</f>
        <v/>
      </c>
    </row>
    <row r="2101" spans="1:17" x14ac:dyDescent="0.3">
      <c r="A2101" s="1" t="str">
        <f t="shared" si="617"/>
        <v>ZC</v>
      </c>
      <c r="B2101" s="1" t="str">
        <f>"GGFS014"</f>
        <v>GGFS014</v>
      </c>
      <c r="C2101" s="1" t="str">
        <f>"십이지장염"</f>
        <v>십이지장염</v>
      </c>
      <c r="D2101" s="1" t="s">
        <v>597</v>
      </c>
      <c r="E2101" s="1" t="str">
        <f>""</f>
        <v/>
      </c>
      <c r="F2101" s="1" t="str">
        <f>""</f>
        <v/>
      </c>
      <c r="G2101" s="1" t="str">
        <f>""</f>
        <v/>
      </c>
      <c r="H2101" s="1" t="str">
        <f>""</f>
        <v/>
      </c>
      <c r="I2101" s="1" t="str">
        <f>""</f>
        <v/>
      </c>
      <c r="J2101" s="1" t="str">
        <f>""</f>
        <v/>
      </c>
      <c r="K2101" s="1" t="str">
        <f>""</f>
        <v/>
      </c>
      <c r="L2101" s="1" t="str">
        <f t="shared" si="620"/>
        <v>R</v>
      </c>
      <c r="M2101" s="1" t="str">
        <f>""</f>
        <v/>
      </c>
      <c r="N2101" s="1" t="str">
        <f t="shared" si="621"/>
        <v>Y</v>
      </c>
      <c r="O2101" s="1" t="str">
        <f t="shared" si="625"/>
        <v>Y</v>
      </c>
      <c r="P2101" s="1" t="str">
        <f t="shared" si="624"/>
        <v>Y</v>
      </c>
      <c r="Q2101" s="1" t="str">
        <f>""</f>
        <v/>
      </c>
    </row>
    <row r="2102" spans="1:17" x14ac:dyDescent="0.3">
      <c r="A2102" s="1" t="str">
        <f t="shared" si="617"/>
        <v>ZC</v>
      </c>
      <c r="B2102" s="1" t="str">
        <f>"GGFS015"</f>
        <v>GGFS015</v>
      </c>
      <c r="C2102" s="1" t="str">
        <f>"식도 열공 탈장"</f>
        <v>식도 열공 탈장</v>
      </c>
      <c r="D2102" s="1" t="s">
        <v>598</v>
      </c>
      <c r="E2102" s="1" t="str">
        <f>""</f>
        <v/>
      </c>
      <c r="F2102" s="1" t="str">
        <f>""</f>
        <v/>
      </c>
      <c r="G2102" s="1" t="str">
        <f>""</f>
        <v/>
      </c>
      <c r="H2102" s="1" t="str">
        <f>""</f>
        <v/>
      </c>
      <c r="I2102" s="1" t="str">
        <f>""</f>
        <v/>
      </c>
      <c r="J2102" s="1" t="str">
        <f>""</f>
        <v/>
      </c>
      <c r="K2102" s="1" t="str">
        <f>""</f>
        <v/>
      </c>
      <c r="L2102" s="1" t="str">
        <f t="shared" si="620"/>
        <v>R</v>
      </c>
      <c r="M2102" s="1" t="str">
        <f>""</f>
        <v/>
      </c>
      <c r="N2102" s="1" t="str">
        <f t="shared" si="621"/>
        <v>Y</v>
      </c>
      <c r="O2102" s="1" t="str">
        <f t="shared" si="625"/>
        <v>Y</v>
      </c>
      <c r="P2102" s="1" t="str">
        <f t="shared" si="624"/>
        <v>Y</v>
      </c>
      <c r="Q2102" s="1" t="str">
        <f>""</f>
        <v/>
      </c>
    </row>
    <row r="2103" spans="1:17" x14ac:dyDescent="0.3">
      <c r="A2103" s="1" t="str">
        <f t="shared" si="617"/>
        <v>ZC</v>
      </c>
      <c r="B2103" s="1" t="str">
        <f>"GGFS016"</f>
        <v>GGFS016</v>
      </c>
      <c r="C2103" s="1" t="str">
        <f>"활동기 십이지장궤양"</f>
        <v>활동기 십이지장궤양</v>
      </c>
      <c r="D2103" s="1" t="str">
        <f>"위내시경 검사에서 활동기 십이지장궤양이 관찰됩니다. 약물치료와 추적 위내시경 검사가 필요하므로 소화기내과 진료를 받으시기 바랍니다."</f>
        <v>위내시경 검사에서 활동기 십이지장궤양이 관찰됩니다. 약물치료와 추적 위내시경 검사가 필요하므로 소화기내과 진료를 받으시기 바랍니다.</v>
      </c>
      <c r="E2103" s="1" t="str">
        <f>""</f>
        <v/>
      </c>
      <c r="F2103" s="1" t="str">
        <f>""</f>
        <v/>
      </c>
      <c r="G2103" s="1" t="str">
        <f>""</f>
        <v/>
      </c>
      <c r="H2103" s="1" t="str">
        <f>""</f>
        <v/>
      </c>
      <c r="I2103" s="1" t="str">
        <f>""</f>
        <v/>
      </c>
      <c r="J2103" s="1" t="str">
        <f>""</f>
        <v/>
      </c>
      <c r="K2103" s="1" t="str">
        <f>""</f>
        <v/>
      </c>
      <c r="L2103" s="1" t="str">
        <f t="shared" si="620"/>
        <v>R</v>
      </c>
      <c r="M2103" s="1" t="str">
        <f>""</f>
        <v/>
      </c>
      <c r="N2103" s="1" t="str">
        <f t="shared" si="621"/>
        <v>Y</v>
      </c>
      <c r="O2103" s="1" t="str">
        <f t="shared" si="625"/>
        <v>Y</v>
      </c>
      <c r="P2103" s="1" t="str">
        <f t="shared" si="624"/>
        <v>Y</v>
      </c>
      <c r="Q2103" s="1" t="str">
        <f>""</f>
        <v/>
      </c>
    </row>
    <row r="2104" spans="1:17" x14ac:dyDescent="0.3">
      <c r="A2104" s="1" t="str">
        <f t="shared" ref="A2104:A2167" si="627">"ZC"</f>
        <v>ZC</v>
      </c>
      <c r="B2104" s="1" t="str">
        <f>"GGFS016-1"</f>
        <v>GGFS016-1</v>
      </c>
      <c r="C2104" s="1" t="str">
        <f>"치유기 십이지장궤양"</f>
        <v>치유기 십이지장궤양</v>
      </c>
      <c r="D2104" s="1" t="str">
        <f>"위내시경 검사에서 치유기 십이지장궤양이 관찰됩니다. 약물치료와 추적 위내시경 검사가 필요하므로 소화기내과 진료를 받으시기 바랍니다."</f>
        <v>위내시경 검사에서 치유기 십이지장궤양이 관찰됩니다. 약물치료와 추적 위내시경 검사가 필요하므로 소화기내과 진료를 받으시기 바랍니다.</v>
      </c>
      <c r="E2104" s="1" t="str">
        <f>""</f>
        <v/>
      </c>
      <c r="F2104" s="1" t="str">
        <f>""</f>
        <v/>
      </c>
      <c r="G2104" s="1" t="str">
        <f>""</f>
        <v/>
      </c>
      <c r="H2104" s="1" t="str">
        <f>""</f>
        <v/>
      </c>
      <c r="I2104" s="1" t="str">
        <f>""</f>
        <v/>
      </c>
      <c r="J2104" s="1" t="str">
        <f>""</f>
        <v/>
      </c>
      <c r="K2104" s="1" t="str">
        <f>""</f>
        <v/>
      </c>
      <c r="L2104" s="1" t="str">
        <f t="shared" ref="L2104:L2167" si="628">"R"</f>
        <v>R</v>
      </c>
      <c r="M2104" s="1" t="str">
        <f>""</f>
        <v/>
      </c>
      <c r="N2104" s="1" t="str">
        <f t="shared" ref="N2104:N2167" si="629">"Y"</f>
        <v>Y</v>
      </c>
      <c r="O2104" s="1" t="str">
        <f t="shared" si="625"/>
        <v>Y</v>
      </c>
      <c r="P2104" s="1" t="str">
        <f t="shared" si="624"/>
        <v>Y</v>
      </c>
      <c r="Q2104" s="1" t="str">
        <f>""</f>
        <v/>
      </c>
    </row>
    <row r="2105" spans="1:17" x14ac:dyDescent="0.3">
      <c r="A2105" s="1" t="str">
        <f t="shared" si="627"/>
        <v>ZC</v>
      </c>
      <c r="B2105" s="1" t="str">
        <f>"GGFS017"</f>
        <v>GGFS017</v>
      </c>
      <c r="C2105" s="1" t="str">
        <f>"반흔기 십이지장궤양"</f>
        <v>반흔기 십이지장궤양</v>
      </c>
      <c r="D2105" s="1" t="str">
        <f>"위내시경 검사에서 십이지장궤양이 치유흔적이 관찰됩니다. 현재 활동성 궤양은 없으나 추후 재발할 가능성이 있으므로 정기적인 위내시경 검사를 받으시기 바랍니다."</f>
        <v>위내시경 검사에서 십이지장궤양이 치유흔적이 관찰됩니다. 현재 활동성 궤양은 없으나 추후 재발할 가능성이 있으므로 정기적인 위내시경 검사를 받으시기 바랍니다.</v>
      </c>
      <c r="E2105" s="1" t="str">
        <f>""</f>
        <v/>
      </c>
      <c r="F2105" s="1" t="str">
        <f>""</f>
        <v/>
      </c>
      <c r="G2105" s="1" t="str">
        <f>""</f>
        <v/>
      </c>
      <c r="H2105" s="1" t="str">
        <f>""</f>
        <v/>
      </c>
      <c r="I2105" s="1" t="str">
        <f>""</f>
        <v/>
      </c>
      <c r="J2105" s="1" t="str">
        <f>""</f>
        <v/>
      </c>
      <c r="K2105" s="1" t="str">
        <f>""</f>
        <v/>
      </c>
      <c r="L2105" s="1" t="str">
        <f t="shared" si="628"/>
        <v>R</v>
      </c>
      <c r="M2105" s="1" t="str">
        <f>""</f>
        <v/>
      </c>
      <c r="N2105" s="1" t="str">
        <f t="shared" si="629"/>
        <v>Y</v>
      </c>
      <c r="O2105" s="1" t="str">
        <f t="shared" si="625"/>
        <v>Y</v>
      </c>
      <c r="P2105" s="1" t="str">
        <f t="shared" si="624"/>
        <v>Y</v>
      </c>
      <c r="Q2105" s="1" t="str">
        <f>""</f>
        <v/>
      </c>
    </row>
    <row r="2106" spans="1:17" x14ac:dyDescent="0.3">
      <c r="A2106" s="1" t="str">
        <f t="shared" si="627"/>
        <v>ZC</v>
      </c>
      <c r="B2106" s="1" t="str">
        <f>"GGFS018"</f>
        <v>GGFS018</v>
      </c>
      <c r="C2106" s="1" t="str">
        <f>"십이지장게실"</f>
        <v>십이지장게실</v>
      </c>
      <c r="D2106" s="1" t="s">
        <v>599</v>
      </c>
      <c r="E2106" s="1" t="str">
        <f>""</f>
        <v/>
      </c>
      <c r="F2106" s="1" t="str">
        <f>""</f>
        <v/>
      </c>
      <c r="G2106" s="1" t="str">
        <f>""</f>
        <v/>
      </c>
      <c r="H2106" s="1" t="str">
        <f>""</f>
        <v/>
      </c>
      <c r="I2106" s="1" t="str">
        <f>""</f>
        <v/>
      </c>
      <c r="J2106" s="1" t="str">
        <f>""</f>
        <v/>
      </c>
      <c r="K2106" s="1" t="str">
        <f>""</f>
        <v/>
      </c>
      <c r="L2106" s="1" t="str">
        <f t="shared" si="628"/>
        <v>R</v>
      </c>
      <c r="M2106" s="1" t="str">
        <f>""</f>
        <v/>
      </c>
      <c r="N2106" s="1" t="str">
        <f t="shared" si="629"/>
        <v>Y</v>
      </c>
      <c r="O2106" s="1" t="str">
        <f t="shared" si="625"/>
        <v>Y</v>
      </c>
      <c r="P2106" s="1" t="str">
        <f t="shared" si="624"/>
        <v>Y</v>
      </c>
      <c r="Q2106" s="1" t="str">
        <f>""</f>
        <v/>
      </c>
    </row>
    <row r="2107" spans="1:17" x14ac:dyDescent="0.3">
      <c r="A2107" s="1" t="str">
        <f t="shared" si="627"/>
        <v>ZC</v>
      </c>
      <c r="B2107" s="1" t="str">
        <f>"GGFS019"</f>
        <v>GGFS019</v>
      </c>
      <c r="C2107" s="1" t="str">
        <f>"십이지장점막하 종양(1cm 미만)"</f>
        <v>십이지장점막하 종양(1cm 미만)</v>
      </c>
      <c r="D2107" s="1" t="s">
        <v>600</v>
      </c>
      <c r="E2107" s="1" t="str">
        <f>""</f>
        <v/>
      </c>
      <c r="F2107" s="1" t="str">
        <f>""</f>
        <v/>
      </c>
      <c r="G2107" s="1" t="str">
        <f>""</f>
        <v/>
      </c>
      <c r="H2107" s="1" t="str">
        <f>""</f>
        <v/>
      </c>
      <c r="I2107" s="1" t="str">
        <f>""</f>
        <v/>
      </c>
      <c r="J2107" s="1" t="str">
        <f>""</f>
        <v/>
      </c>
      <c r="K2107" s="1" t="str">
        <f>""</f>
        <v/>
      </c>
      <c r="L2107" s="1" t="str">
        <f t="shared" si="628"/>
        <v>R</v>
      </c>
      <c r="M2107" s="1" t="str">
        <f>""</f>
        <v/>
      </c>
      <c r="N2107" s="1" t="str">
        <f t="shared" si="629"/>
        <v>Y</v>
      </c>
      <c r="O2107" s="1" t="str">
        <f t="shared" si="625"/>
        <v>Y</v>
      </c>
      <c r="P2107" s="1" t="str">
        <f t="shared" si="624"/>
        <v>Y</v>
      </c>
      <c r="Q2107" s="1" t="str">
        <f>""</f>
        <v/>
      </c>
    </row>
    <row r="2108" spans="1:17" x14ac:dyDescent="0.3">
      <c r="A2108" s="1" t="str">
        <f t="shared" si="627"/>
        <v>ZC</v>
      </c>
      <c r="B2108" s="1" t="str">
        <f>"GGFS020"</f>
        <v>GGFS020</v>
      </c>
      <c r="C2108" s="1" t="str">
        <f>"십이지장점막하 종양(1cm 이상)"</f>
        <v>십이지장점막하 종양(1cm 이상)</v>
      </c>
      <c r="D2108" s="1" t="s">
        <v>601</v>
      </c>
      <c r="E2108" s="1" t="str">
        <f>""</f>
        <v/>
      </c>
      <c r="F2108" s="1" t="str">
        <f>""</f>
        <v/>
      </c>
      <c r="G2108" s="1" t="str">
        <f>""</f>
        <v/>
      </c>
      <c r="H2108" s="1" t="str">
        <f>""</f>
        <v/>
      </c>
      <c r="I2108" s="1" t="str">
        <f>""</f>
        <v/>
      </c>
      <c r="J2108" s="1" t="str">
        <f>""</f>
        <v/>
      </c>
      <c r="K2108" s="1" t="str">
        <f>""</f>
        <v/>
      </c>
      <c r="L2108" s="1" t="str">
        <f t="shared" si="628"/>
        <v>R</v>
      </c>
      <c r="M2108" s="1" t="str">
        <f>""</f>
        <v/>
      </c>
      <c r="N2108" s="1" t="str">
        <f t="shared" si="629"/>
        <v>Y</v>
      </c>
      <c r="O2108" s="1" t="str">
        <f t="shared" si="625"/>
        <v>Y</v>
      </c>
      <c r="P2108" s="1" t="str">
        <f t="shared" si="624"/>
        <v>Y</v>
      </c>
      <c r="Q2108" s="1" t="str">
        <f>""</f>
        <v/>
      </c>
    </row>
    <row r="2109" spans="1:17" x14ac:dyDescent="0.3">
      <c r="A2109" s="1" t="str">
        <f t="shared" si="627"/>
        <v>ZC</v>
      </c>
      <c r="B2109" s="1" t="str">
        <f>"GGFS021"</f>
        <v>GGFS021</v>
      </c>
      <c r="C2109" s="1" t="str">
        <f>"위내시경 준비 부족"</f>
        <v>위내시경 준비 부족</v>
      </c>
      <c r="D2109" s="1" t="s">
        <v>602</v>
      </c>
      <c r="E2109" s="1" t="str">
        <f>""</f>
        <v/>
      </c>
      <c r="F2109" s="1" t="str">
        <f>""</f>
        <v/>
      </c>
      <c r="G2109" s="1" t="str">
        <f>""</f>
        <v/>
      </c>
      <c r="H2109" s="1" t="str">
        <f>""</f>
        <v/>
      </c>
      <c r="I2109" s="1" t="str">
        <f>""</f>
        <v/>
      </c>
      <c r="J2109" s="1" t="str">
        <f>""</f>
        <v/>
      </c>
      <c r="K2109" s="1" t="str">
        <f>""</f>
        <v/>
      </c>
      <c r="L2109" s="1" t="str">
        <f t="shared" si="628"/>
        <v>R</v>
      </c>
      <c r="M2109" s="1" t="str">
        <f>""</f>
        <v/>
      </c>
      <c r="N2109" s="1" t="str">
        <f t="shared" si="629"/>
        <v>Y</v>
      </c>
      <c r="O2109" s="1" t="str">
        <f t="shared" si="625"/>
        <v>Y</v>
      </c>
      <c r="P2109" s="1" t="str">
        <f t="shared" si="624"/>
        <v>Y</v>
      </c>
      <c r="Q2109" s="1" t="str">
        <f>""</f>
        <v/>
      </c>
    </row>
    <row r="2110" spans="1:17" x14ac:dyDescent="0.3">
      <c r="A2110" s="1" t="str">
        <f t="shared" si="627"/>
        <v>ZC</v>
      </c>
      <c r="B2110" s="1" t="str">
        <f>"GGFS022"</f>
        <v>GGFS022</v>
      </c>
      <c r="C2110" s="1" t="str">
        <f>"역류성식도염(경도)"</f>
        <v>역류성식도염(경도)</v>
      </c>
      <c r="D2110" s="1" t="str">
        <f>"위내시경 검사에서 경도의 역류성 식도염이 관찰됩니다. 역류성 식도염은 위산 또는 위내용물이 식도 쪽으로 역류하여 식도 하부에 염증을 일으키는 질환을 말합니다.  경과 관찰을 위해 매년 정기적인 위내시경 검사를 받으십시오."</f>
        <v>위내시경 검사에서 경도의 역류성 식도염이 관찰됩니다. 역류성 식도염은 위산 또는 위내용물이 식도 쪽으로 역류하여 식도 하부에 염증을 일으키는 질환을 말합니다.  경과 관찰을 위해 매년 정기적인 위내시경 검사를 받으십시오.</v>
      </c>
      <c r="E2110" s="1" t="str">
        <f>""</f>
        <v/>
      </c>
      <c r="F2110" s="1" t="str">
        <f>""</f>
        <v/>
      </c>
      <c r="G2110" s="1" t="str">
        <f>""</f>
        <v/>
      </c>
      <c r="H2110" s="1" t="str">
        <f>""</f>
        <v/>
      </c>
      <c r="I2110" s="1" t="str">
        <f>""</f>
        <v/>
      </c>
      <c r="J2110" s="1" t="str">
        <f>""</f>
        <v/>
      </c>
      <c r="K2110" s="1" t="str">
        <f>""</f>
        <v/>
      </c>
      <c r="L2110" s="1" t="str">
        <f t="shared" si="628"/>
        <v>R</v>
      </c>
      <c r="M2110" s="1" t="str">
        <f>""</f>
        <v/>
      </c>
      <c r="N2110" s="1" t="str">
        <f t="shared" si="629"/>
        <v>Y</v>
      </c>
      <c r="O2110" s="1" t="str">
        <f t="shared" si="625"/>
        <v>Y</v>
      </c>
      <c r="P2110" s="1" t="str">
        <f t="shared" si="624"/>
        <v>Y</v>
      </c>
      <c r="Q2110" s="1" t="str">
        <f>""</f>
        <v/>
      </c>
    </row>
    <row r="2111" spans="1:17" x14ac:dyDescent="0.3">
      <c r="A2111" s="1" t="str">
        <f t="shared" si="627"/>
        <v>ZC</v>
      </c>
      <c r="B2111" s="1" t="str">
        <f>"GGFS02211"</f>
        <v>GGFS02211</v>
      </c>
      <c r="C2111" s="1" t="str">
        <f>"불충분한 위장정결"</f>
        <v>불충분한 위장정결</v>
      </c>
      <c r="D2111" s="1" t="str">
        <f>"위내시경 검사에서 음식잔여물로 인해 검사가 완전히 이루어지지 않아 검사에 제한점이 있습니다. 현재 검사로는 이상 유무를 판단할 수 없으므로 재검사를 받으시기 바랍니다. 다음 위내시경 전에는 충분한 금식시간을 유지하시기 바랍니다."</f>
        <v>위내시경 검사에서 음식잔여물로 인해 검사가 완전히 이루어지지 않아 검사에 제한점이 있습니다. 현재 검사로는 이상 유무를 판단할 수 없으므로 재검사를 받으시기 바랍니다. 다음 위내시경 전에는 충분한 금식시간을 유지하시기 바랍니다.</v>
      </c>
      <c r="E2111" s="1" t="str">
        <f>""</f>
        <v/>
      </c>
      <c r="F2111" s="1" t="str">
        <f>""</f>
        <v/>
      </c>
      <c r="G2111" s="1" t="str">
        <f>""</f>
        <v/>
      </c>
      <c r="H2111" s="1" t="str">
        <f>""</f>
        <v/>
      </c>
      <c r="I2111" s="1" t="str">
        <f>""</f>
        <v/>
      </c>
      <c r="J2111" s="1" t="str">
        <f>""</f>
        <v/>
      </c>
      <c r="K2111" s="1" t="str">
        <f>""</f>
        <v/>
      </c>
      <c r="L2111" s="1" t="str">
        <f t="shared" si="628"/>
        <v>R</v>
      </c>
      <c r="M2111" s="1" t="str">
        <f>""</f>
        <v/>
      </c>
      <c r="N2111" s="1" t="str">
        <f t="shared" si="629"/>
        <v>Y</v>
      </c>
      <c r="O2111" s="1" t="str">
        <f t="shared" si="625"/>
        <v>Y</v>
      </c>
      <c r="P2111" s="1" t="str">
        <f t="shared" si="624"/>
        <v>Y</v>
      </c>
      <c r="Q2111" s="1" t="str">
        <f>""</f>
        <v/>
      </c>
    </row>
    <row r="2112" spans="1:17" x14ac:dyDescent="0.3">
      <c r="A2112" s="1" t="str">
        <f t="shared" si="627"/>
        <v>ZC</v>
      </c>
      <c r="B2112" s="1" t="str">
        <f>"GGFS023"</f>
        <v>GGFS023</v>
      </c>
      <c r="C2112" s="1" t="str">
        <f>"역류성식도염(중등도 이상)"</f>
        <v>역류성식도염(중등도 이상)</v>
      </c>
      <c r="D2112" s="1" t="str">
        <f>"위내시경 검사에서 중등도의 역류성 식도염이 관찰됩니다. 역류성 식도염은 위산 또는 위내용물이 식도 쪽으로 역류하여 식도 하부에 염증을 일으키는 질환을 말합니다. 매년 정기적인 위내시경 검사를 받으십시오. "</f>
        <v xml:space="preserve">위내시경 검사에서 중등도의 역류성 식도염이 관찰됩니다. 역류성 식도염은 위산 또는 위내용물이 식도 쪽으로 역류하여 식도 하부에 염증을 일으키는 질환을 말합니다. 매년 정기적인 위내시경 검사를 받으십시오. </v>
      </c>
      <c r="E2112" s="1" t="str">
        <f>""</f>
        <v/>
      </c>
      <c r="F2112" s="1" t="str">
        <f>""</f>
        <v/>
      </c>
      <c r="G2112" s="1" t="str">
        <f>""</f>
        <v/>
      </c>
      <c r="H2112" s="1" t="str">
        <f>""</f>
        <v/>
      </c>
      <c r="I2112" s="1" t="str">
        <f>""</f>
        <v/>
      </c>
      <c r="J2112" s="1" t="str">
        <f>""</f>
        <v/>
      </c>
      <c r="K2112" s="1" t="str">
        <f>""</f>
        <v/>
      </c>
      <c r="L2112" s="1" t="str">
        <f t="shared" si="628"/>
        <v>R</v>
      </c>
      <c r="M2112" s="1" t="str">
        <f>""</f>
        <v/>
      </c>
      <c r="N2112" s="1" t="str">
        <f t="shared" si="629"/>
        <v>Y</v>
      </c>
      <c r="O2112" s="1" t="str">
        <f t="shared" si="625"/>
        <v>Y</v>
      </c>
      <c r="P2112" s="1" t="str">
        <f t="shared" si="624"/>
        <v>Y</v>
      </c>
      <c r="Q2112" s="1" t="str">
        <f>""</f>
        <v/>
      </c>
    </row>
    <row r="2113" spans="1:17" x14ac:dyDescent="0.3">
      <c r="A2113" s="1" t="str">
        <f t="shared" si="627"/>
        <v>ZC</v>
      </c>
      <c r="B2113" s="1" t="str">
        <f>"GGFS024"</f>
        <v>GGFS024</v>
      </c>
      <c r="C2113" s="1" t="str">
        <f>"식도게실"</f>
        <v>식도게실</v>
      </c>
      <c r="D2113" s="1" t="s">
        <v>603</v>
      </c>
      <c r="E2113" s="1" t="str">
        <f>""</f>
        <v/>
      </c>
      <c r="F2113" s="1" t="str">
        <f>""</f>
        <v/>
      </c>
      <c r="G2113" s="1" t="str">
        <f>""</f>
        <v/>
      </c>
      <c r="H2113" s="1" t="str">
        <f>""</f>
        <v/>
      </c>
      <c r="I2113" s="1" t="str">
        <f>""</f>
        <v/>
      </c>
      <c r="J2113" s="1" t="str">
        <f>""</f>
        <v/>
      </c>
      <c r="K2113" s="1" t="str">
        <f>""</f>
        <v/>
      </c>
      <c r="L2113" s="1" t="str">
        <f t="shared" si="628"/>
        <v>R</v>
      </c>
      <c r="M2113" s="1" t="str">
        <f>""</f>
        <v/>
      </c>
      <c r="N2113" s="1" t="str">
        <f t="shared" si="629"/>
        <v>Y</v>
      </c>
      <c r="O2113" s="1" t="str">
        <f t="shared" si="625"/>
        <v>Y</v>
      </c>
      <c r="P2113" s="1" t="str">
        <f t="shared" si="624"/>
        <v>Y</v>
      </c>
      <c r="Q2113" s="1" t="str">
        <f>""</f>
        <v/>
      </c>
    </row>
    <row r="2114" spans="1:17" x14ac:dyDescent="0.3">
      <c r="A2114" s="1" t="str">
        <f t="shared" si="627"/>
        <v>ZC</v>
      </c>
      <c r="B2114" s="1" t="str">
        <f>"GGFS025"</f>
        <v>GGFS025</v>
      </c>
      <c r="C2114" s="1" t="str">
        <f>"식도정맥류"</f>
        <v>식도정맥류</v>
      </c>
      <c r="D2114" s="1" t="str">
        <f>"위내시경 검사에서 식도정맥류가 의심됩니다. 식도 정맥류란 간경화의 합병증으로 식도 점막 부위의 정맥이 커진 것입니다. 출혈의 위험성이 있으므로 소화기내과에서 정기적인 관찰과 치료가 필요합니다."</f>
        <v>위내시경 검사에서 식도정맥류가 의심됩니다. 식도 정맥류란 간경화의 합병증으로 식도 점막 부위의 정맥이 커진 것입니다. 출혈의 위험성이 있으므로 소화기내과에서 정기적인 관찰과 치료가 필요합니다.</v>
      </c>
      <c r="E2114" s="1" t="str">
        <f>""</f>
        <v/>
      </c>
      <c r="F2114" s="1" t="str">
        <f>""</f>
        <v/>
      </c>
      <c r="G2114" s="1" t="str">
        <f>""</f>
        <v/>
      </c>
      <c r="H2114" s="1" t="str">
        <f>""</f>
        <v/>
      </c>
      <c r="I2114" s="1" t="str">
        <f>""</f>
        <v/>
      </c>
      <c r="J2114" s="1" t="str">
        <f>""</f>
        <v/>
      </c>
      <c r="K2114" s="1" t="str">
        <f>""</f>
        <v/>
      </c>
      <c r="L2114" s="1" t="str">
        <f t="shared" si="628"/>
        <v>R</v>
      </c>
      <c r="M2114" s="1" t="str">
        <f>""</f>
        <v/>
      </c>
      <c r="N2114" s="1" t="str">
        <f t="shared" si="629"/>
        <v>Y</v>
      </c>
      <c r="O2114" s="1" t="str">
        <f t="shared" si="625"/>
        <v>Y</v>
      </c>
      <c r="P2114" s="1" t="str">
        <f t="shared" si="624"/>
        <v>Y</v>
      </c>
      <c r="Q2114" s="1" t="str">
        <f>""</f>
        <v/>
      </c>
    </row>
    <row r="2115" spans="1:17" x14ac:dyDescent="0.3">
      <c r="A2115" s="1" t="str">
        <f t="shared" si="627"/>
        <v>ZC</v>
      </c>
      <c r="B2115" s="1" t="str">
        <f>"GGFS026"</f>
        <v>GGFS026</v>
      </c>
      <c r="C2115" s="1" t="str">
        <f>"식도점막하 종양(1cm 미만)"</f>
        <v>식도점막하 종양(1cm 미만)</v>
      </c>
      <c r="D2115" s="1" t="s">
        <v>604</v>
      </c>
      <c r="E2115" s="1" t="str">
        <f>""</f>
        <v/>
      </c>
      <c r="F2115" s="1" t="str">
        <f>""</f>
        <v/>
      </c>
      <c r="G2115" s="1" t="str">
        <f>""</f>
        <v/>
      </c>
      <c r="H2115" s="1" t="str">
        <f>""</f>
        <v/>
      </c>
      <c r="I2115" s="1" t="str">
        <f>""</f>
        <v/>
      </c>
      <c r="J2115" s="1" t="str">
        <f>""</f>
        <v/>
      </c>
      <c r="K2115" s="1" t="str">
        <f>""</f>
        <v/>
      </c>
      <c r="L2115" s="1" t="str">
        <f t="shared" si="628"/>
        <v>R</v>
      </c>
      <c r="M2115" s="1" t="str">
        <f>""</f>
        <v/>
      </c>
      <c r="N2115" s="1" t="str">
        <f t="shared" si="629"/>
        <v>Y</v>
      </c>
      <c r="O2115" s="1" t="str">
        <f t="shared" si="625"/>
        <v>Y</v>
      </c>
      <c r="P2115" s="1" t="str">
        <f t="shared" si="624"/>
        <v>Y</v>
      </c>
      <c r="Q2115" s="1" t="str">
        <f>""</f>
        <v/>
      </c>
    </row>
    <row r="2116" spans="1:17" x14ac:dyDescent="0.3">
      <c r="A2116" s="1" t="str">
        <f t="shared" si="627"/>
        <v>ZC</v>
      </c>
      <c r="B2116" s="1" t="str">
        <f>"GGFS027"</f>
        <v>GGFS027</v>
      </c>
      <c r="C2116" s="1" t="str">
        <f>"식도점막하 종양(1cm 이상)"</f>
        <v>식도점막하 종양(1cm 이상)</v>
      </c>
      <c r="D2116" s="1" t="s">
        <v>605</v>
      </c>
      <c r="E2116" s="1" t="str">
        <f>""</f>
        <v/>
      </c>
      <c r="F2116" s="1" t="str">
        <f>""</f>
        <v/>
      </c>
      <c r="G2116" s="1" t="str">
        <f>""</f>
        <v/>
      </c>
      <c r="H2116" s="1" t="str">
        <f>""</f>
        <v/>
      </c>
      <c r="I2116" s="1" t="str">
        <f>""</f>
        <v/>
      </c>
      <c r="J2116" s="1" t="str">
        <f>""</f>
        <v/>
      </c>
      <c r="K2116" s="1" t="str">
        <f>""</f>
        <v/>
      </c>
      <c r="L2116" s="1" t="str">
        <f t="shared" si="628"/>
        <v>R</v>
      </c>
      <c r="M2116" s="1" t="str">
        <f>""</f>
        <v/>
      </c>
      <c r="N2116" s="1" t="str">
        <f t="shared" si="629"/>
        <v>Y</v>
      </c>
      <c r="O2116" s="1" t="str">
        <f t="shared" si="625"/>
        <v>Y</v>
      </c>
      <c r="P2116" s="1" t="str">
        <f t="shared" si="624"/>
        <v>Y</v>
      </c>
      <c r="Q2116" s="1" t="str">
        <f>""</f>
        <v/>
      </c>
    </row>
    <row r="2117" spans="1:17" x14ac:dyDescent="0.3">
      <c r="A2117" s="1" t="str">
        <f t="shared" si="627"/>
        <v>ZC</v>
      </c>
      <c r="B2117" s="1" t="str">
        <f>"GGFS028"</f>
        <v>GGFS028</v>
      </c>
      <c r="C2117" s="1" t="str">
        <f>"표재성 위염"</f>
        <v>표재성 위염</v>
      </c>
      <c r="D2117" s="1" t="str">
        <f>"위내시경 검사에서 표재성(겉에만 있는) 위염이 관찰됩니다. 이는 비교적 가벼운 위염으로서 대부분 증상이 없습니다. 속 쓰림이나 소화불량 등의 증상이 있으면 치료를 받으시기 바랍니다. 또한 경과 관찰을 위해 1년 후 위내시경 검사를 받으십시오."</f>
        <v>위내시경 검사에서 표재성(겉에만 있는) 위염이 관찰됩니다. 이는 비교적 가벼운 위염으로서 대부분 증상이 없습니다. 속 쓰림이나 소화불량 등의 증상이 있으면 치료를 받으시기 바랍니다. 또한 경과 관찰을 위해 1년 후 위내시경 검사를 받으십시오.</v>
      </c>
      <c r="E2117" s="1" t="str">
        <f>""</f>
        <v/>
      </c>
      <c r="F2117" s="1" t="str">
        <f>""</f>
        <v/>
      </c>
      <c r="G2117" s="1" t="str">
        <f>""</f>
        <v/>
      </c>
      <c r="H2117" s="1" t="str">
        <f>""</f>
        <v/>
      </c>
      <c r="I2117" s="1" t="str">
        <f>""</f>
        <v/>
      </c>
      <c r="J2117" s="1" t="str">
        <f>""</f>
        <v/>
      </c>
      <c r="K2117" s="1" t="str">
        <f>""</f>
        <v/>
      </c>
      <c r="L2117" s="1" t="str">
        <f t="shared" si="628"/>
        <v>R</v>
      </c>
      <c r="M2117" s="1" t="str">
        <f>""</f>
        <v/>
      </c>
      <c r="N2117" s="1" t="str">
        <f t="shared" si="629"/>
        <v>Y</v>
      </c>
      <c r="O2117" s="1" t="str">
        <f t="shared" si="625"/>
        <v>Y</v>
      </c>
      <c r="P2117" s="1" t="str">
        <f t="shared" si="624"/>
        <v>Y</v>
      </c>
      <c r="Q2117" s="1" t="str">
        <f>""</f>
        <v/>
      </c>
    </row>
    <row r="2118" spans="1:17" x14ac:dyDescent="0.3">
      <c r="A2118" s="1" t="str">
        <f t="shared" si="627"/>
        <v>ZC</v>
      </c>
      <c r="B2118" s="1" t="str">
        <f>"GGFS029"</f>
        <v>GGFS029</v>
      </c>
      <c r="C2118" s="1" t="str">
        <f>"림프여포성 위염"</f>
        <v>림프여포성 위염</v>
      </c>
      <c r="D2118" s="1" t="str">
        <f>"위내시경 검사에서 림프 여포성 위염입니다. 주로 헬리코박터균에 의한 감염으로 생기는 특징적인 소견입니다. 소화 불량 등의 위장관 증상이 있다면 소화기내과 진료를 보십시오."</f>
        <v>위내시경 검사에서 림프 여포성 위염입니다. 주로 헬리코박터균에 의한 감염으로 생기는 특징적인 소견입니다. 소화 불량 등의 위장관 증상이 있다면 소화기내과 진료를 보십시오.</v>
      </c>
      <c r="E2118" s="1" t="str">
        <f>""</f>
        <v/>
      </c>
      <c r="F2118" s="1" t="str">
        <f>""</f>
        <v/>
      </c>
      <c r="G2118" s="1" t="str">
        <f>""</f>
        <v/>
      </c>
      <c r="H2118" s="1" t="str">
        <f>""</f>
        <v/>
      </c>
      <c r="I2118" s="1" t="str">
        <f>""</f>
        <v/>
      </c>
      <c r="J2118" s="1" t="str">
        <f>""</f>
        <v/>
      </c>
      <c r="K2118" s="1" t="str">
        <f>""</f>
        <v/>
      </c>
      <c r="L2118" s="1" t="str">
        <f t="shared" si="628"/>
        <v>R</v>
      </c>
      <c r="M2118" s="1" t="str">
        <f>""</f>
        <v/>
      </c>
      <c r="N2118" s="1" t="str">
        <f t="shared" si="629"/>
        <v>Y</v>
      </c>
      <c r="O2118" s="1" t="str">
        <f t="shared" si="625"/>
        <v>Y</v>
      </c>
      <c r="P2118" s="1" t="str">
        <f t="shared" si="624"/>
        <v>Y</v>
      </c>
      <c r="Q2118" s="1" t="str">
        <f>""</f>
        <v/>
      </c>
    </row>
    <row r="2119" spans="1:17" x14ac:dyDescent="0.3">
      <c r="A2119" s="1" t="str">
        <f t="shared" si="627"/>
        <v>ZC</v>
      </c>
      <c r="B2119" s="1" t="str">
        <f>"GGFS030"</f>
        <v>GGFS030</v>
      </c>
      <c r="C2119" s="1" t="str">
        <f>"미란성 위염"</f>
        <v>미란성 위염</v>
      </c>
      <c r="D2119" s="1" t="s">
        <v>606</v>
      </c>
      <c r="E2119" s="1" t="str">
        <f>""</f>
        <v/>
      </c>
      <c r="F2119" s="1" t="str">
        <f>""</f>
        <v/>
      </c>
      <c r="G2119" s="1" t="str">
        <f>""</f>
        <v/>
      </c>
      <c r="H2119" s="1" t="str">
        <f>""</f>
        <v/>
      </c>
      <c r="I2119" s="1" t="str">
        <f>""</f>
        <v/>
      </c>
      <c r="J2119" s="1" t="str">
        <f>""</f>
        <v/>
      </c>
      <c r="K2119" s="1" t="str">
        <f>""</f>
        <v/>
      </c>
      <c r="L2119" s="1" t="str">
        <f t="shared" si="628"/>
        <v>R</v>
      </c>
      <c r="M2119" s="1" t="str">
        <f>""</f>
        <v/>
      </c>
      <c r="N2119" s="1" t="str">
        <f t="shared" si="629"/>
        <v>Y</v>
      </c>
      <c r="O2119" s="1" t="str">
        <f t="shared" si="625"/>
        <v>Y</v>
      </c>
      <c r="P2119" s="1" t="str">
        <f t="shared" si="624"/>
        <v>Y</v>
      </c>
      <c r="Q2119" s="1" t="str">
        <f>""</f>
        <v/>
      </c>
    </row>
    <row r="2120" spans="1:17" x14ac:dyDescent="0.3">
      <c r="A2120" s="1" t="str">
        <f t="shared" si="627"/>
        <v>ZC</v>
      </c>
      <c r="B2120" s="1" t="str">
        <f>"GGFS031"</f>
        <v>GGFS031</v>
      </c>
      <c r="C2120" s="1" t="str">
        <f>"위축성 위염"</f>
        <v>위축성 위염</v>
      </c>
      <c r="D2120" s="1" t="str">
        <f>"위내시경 검사에서 위축성 위염이 관찰됩니다. 위축성 위염은 만성적인 염증과 노화에 의하여 위점막이 얇아진 상태입니다.  매년 내시경 검사를 받으시기 바랍니다."</f>
        <v>위내시경 검사에서 위축성 위염이 관찰됩니다. 위축성 위염은 만성적인 염증과 노화에 의하여 위점막이 얇아진 상태입니다.  매년 내시경 검사를 받으시기 바랍니다.</v>
      </c>
      <c r="E2120" s="1" t="str">
        <f>""</f>
        <v/>
      </c>
      <c r="F2120" s="1" t="str">
        <f>""</f>
        <v/>
      </c>
      <c r="G2120" s="1" t="str">
        <f>""</f>
        <v/>
      </c>
      <c r="H2120" s="1" t="str">
        <f>""</f>
        <v/>
      </c>
      <c r="I2120" s="1" t="str">
        <f>""</f>
        <v/>
      </c>
      <c r="J2120" s="1" t="str">
        <f>""</f>
        <v/>
      </c>
      <c r="K2120" s="1" t="str">
        <f>""</f>
        <v/>
      </c>
      <c r="L2120" s="1" t="str">
        <f t="shared" si="628"/>
        <v>R</v>
      </c>
      <c r="M2120" s="1" t="str">
        <f>""</f>
        <v/>
      </c>
      <c r="N2120" s="1" t="str">
        <f t="shared" si="629"/>
        <v>Y</v>
      </c>
      <c r="O2120" s="1" t="str">
        <f t="shared" si="625"/>
        <v>Y</v>
      </c>
      <c r="P2120" s="1" t="str">
        <f t="shared" si="624"/>
        <v>Y</v>
      </c>
      <c r="Q2120" s="1" t="str">
        <f>""</f>
        <v/>
      </c>
    </row>
    <row r="2121" spans="1:17" x14ac:dyDescent="0.3">
      <c r="A2121" s="1" t="str">
        <f t="shared" si="627"/>
        <v>ZC</v>
      </c>
      <c r="B2121" s="1" t="str">
        <f>"GGFS031-1"</f>
        <v>GGFS031-1</v>
      </c>
      <c r="C2121" s="1" t="str">
        <f>"표재성 발적 동반 위축성 위염"</f>
        <v>표재성 발적 동반 위축성 위염</v>
      </c>
      <c r="D2121" s="1" t="s">
        <v>607</v>
      </c>
      <c r="E2121" s="1" t="str">
        <f>""</f>
        <v/>
      </c>
      <c r="F2121" s="1" t="str">
        <f>""</f>
        <v/>
      </c>
      <c r="G2121" s="1" t="str">
        <f>""</f>
        <v/>
      </c>
      <c r="H2121" s="1" t="str">
        <f>""</f>
        <v/>
      </c>
      <c r="I2121" s="1" t="str">
        <f>""</f>
        <v/>
      </c>
      <c r="J2121" s="1" t="str">
        <f>""</f>
        <v/>
      </c>
      <c r="K2121" s="1" t="str">
        <f>""</f>
        <v/>
      </c>
      <c r="L2121" s="1" t="str">
        <f t="shared" si="628"/>
        <v>R</v>
      </c>
      <c r="M2121" s="1" t="str">
        <f>""</f>
        <v/>
      </c>
      <c r="N2121" s="1" t="str">
        <f t="shared" si="629"/>
        <v>Y</v>
      </c>
      <c r="O2121" s="1" t="str">
        <f t="shared" si="625"/>
        <v>Y</v>
      </c>
      <c r="P2121" s="1" t="str">
        <f t="shared" si="624"/>
        <v>Y</v>
      </c>
      <c r="Q2121" s="1" t="str">
        <f>""</f>
        <v/>
      </c>
    </row>
    <row r="2122" spans="1:17" x14ac:dyDescent="0.3">
      <c r="A2122" s="1" t="str">
        <f t="shared" si="627"/>
        <v>ZC</v>
      </c>
      <c r="B2122" s="1" t="str">
        <f>"GGFS032"</f>
        <v>GGFS032</v>
      </c>
      <c r="C2122" s="1" t="str">
        <f>"출혈성 위염"</f>
        <v>출혈성 위염</v>
      </c>
      <c r="D2122" s="1" t="s">
        <v>608</v>
      </c>
      <c r="E2122" s="1" t="str">
        <f>""</f>
        <v/>
      </c>
      <c r="F2122" s="1" t="str">
        <f>""</f>
        <v/>
      </c>
      <c r="G2122" s="1" t="str">
        <f>""</f>
        <v/>
      </c>
      <c r="H2122" s="1" t="str">
        <f>""</f>
        <v/>
      </c>
      <c r="I2122" s="1" t="str">
        <f>""</f>
        <v/>
      </c>
      <c r="J2122" s="1" t="str">
        <f>""</f>
        <v/>
      </c>
      <c r="K2122" s="1" t="str">
        <f>""</f>
        <v/>
      </c>
      <c r="L2122" s="1" t="str">
        <f t="shared" si="628"/>
        <v>R</v>
      </c>
      <c r="M2122" s="1" t="str">
        <f>""</f>
        <v/>
      </c>
      <c r="N2122" s="1" t="str">
        <f t="shared" si="629"/>
        <v>Y</v>
      </c>
      <c r="O2122" s="1" t="str">
        <f t="shared" si="625"/>
        <v>Y</v>
      </c>
      <c r="P2122" s="1" t="str">
        <f t="shared" ref="P2122:P2185" si="630">"Y"</f>
        <v>Y</v>
      </c>
      <c r="Q2122" s="1" t="str">
        <f>""</f>
        <v/>
      </c>
    </row>
    <row r="2123" spans="1:17" x14ac:dyDescent="0.3">
      <c r="A2123" s="1" t="str">
        <f t="shared" si="627"/>
        <v>ZC</v>
      </c>
      <c r="B2123" s="1" t="str">
        <f>"GGFS033"</f>
        <v>GGFS033</v>
      </c>
      <c r="C2123" s="1" t="str">
        <f>"담즙역류성 위염"</f>
        <v>담즙역류성 위염</v>
      </c>
      <c r="D2123" s="1" t="str">
        <f>"위내시경 검사에서 담즙역류성 위염소견이 있습니다. 십이지장에서 기원한 담즙 역류에 의해 발생하는 위염입니다. 위수술을 받은 경우 흔히 발생할 수 있으나 위장관 운동의 이상에 의해서도 발생할 수 있습니다. 증상이 없는 경우 별도의 치료가 필요하지 않습니다. "</f>
        <v xml:space="preserve">위내시경 검사에서 담즙역류성 위염소견이 있습니다. 십이지장에서 기원한 담즙 역류에 의해 발생하는 위염입니다. 위수술을 받은 경우 흔히 발생할 수 있으나 위장관 운동의 이상에 의해서도 발생할 수 있습니다. 증상이 없는 경우 별도의 치료가 필요하지 않습니다. </v>
      </c>
      <c r="E2123" s="1" t="str">
        <f>""</f>
        <v/>
      </c>
      <c r="F2123" s="1" t="str">
        <f>""</f>
        <v/>
      </c>
      <c r="G2123" s="1" t="str">
        <f>""</f>
        <v/>
      </c>
      <c r="H2123" s="1" t="str">
        <f>""</f>
        <v/>
      </c>
      <c r="I2123" s="1" t="str">
        <f>""</f>
        <v/>
      </c>
      <c r="J2123" s="1" t="str">
        <f>""</f>
        <v/>
      </c>
      <c r="K2123" s="1" t="str">
        <f>""</f>
        <v/>
      </c>
      <c r="L2123" s="1" t="str">
        <f t="shared" si="628"/>
        <v>R</v>
      </c>
      <c r="M2123" s="1" t="str">
        <f>""</f>
        <v/>
      </c>
      <c r="N2123" s="1" t="str">
        <f t="shared" si="629"/>
        <v>Y</v>
      </c>
      <c r="O2123" s="1" t="str">
        <f t="shared" si="625"/>
        <v>Y</v>
      </c>
      <c r="P2123" s="1" t="str">
        <f t="shared" si="630"/>
        <v>Y</v>
      </c>
      <c r="Q2123" s="1" t="str">
        <f>""</f>
        <v/>
      </c>
    </row>
    <row r="2124" spans="1:17" x14ac:dyDescent="0.3">
      <c r="A2124" s="1" t="str">
        <f t="shared" si="627"/>
        <v>ZC</v>
      </c>
      <c r="B2124" s="1" t="str">
        <f>"GGFS034"</f>
        <v>GGFS034</v>
      </c>
      <c r="C2124" s="1" t="str">
        <f>"장상피화생"</f>
        <v>장상피화생</v>
      </c>
      <c r="D2124" s="1" t="str">
        <f>"위내시경 검사에서 장상피화생 소견입니다. 장상피화생이란 정상 위점막 상피가 지속적인 자극으로 장상피와 비슷한 형태로 바뀌는 것입니다. 위암의 고위험군이므로 1년 후 위내시경 검사로 위점막의 변화를 관찰하시기 바랍니다."</f>
        <v>위내시경 검사에서 장상피화생 소견입니다. 장상피화생이란 정상 위점막 상피가 지속적인 자극으로 장상피와 비슷한 형태로 바뀌는 것입니다. 위암의 고위험군이므로 1년 후 위내시경 검사로 위점막의 변화를 관찰하시기 바랍니다.</v>
      </c>
      <c r="E2124" s="1" t="str">
        <f>""</f>
        <v/>
      </c>
      <c r="F2124" s="1" t="str">
        <f>""</f>
        <v/>
      </c>
      <c r="G2124" s="1" t="str">
        <f>""</f>
        <v/>
      </c>
      <c r="H2124" s="1" t="str">
        <f>""</f>
        <v/>
      </c>
      <c r="I2124" s="1" t="str">
        <f>""</f>
        <v/>
      </c>
      <c r="J2124" s="1" t="str">
        <f>""</f>
        <v/>
      </c>
      <c r="K2124" s="1" t="str">
        <f>""</f>
        <v/>
      </c>
      <c r="L2124" s="1" t="str">
        <f t="shared" si="628"/>
        <v>R</v>
      </c>
      <c r="M2124" s="1" t="str">
        <f>""</f>
        <v/>
      </c>
      <c r="N2124" s="1" t="str">
        <f t="shared" si="629"/>
        <v>Y</v>
      </c>
      <c r="O2124" s="1" t="str">
        <f t="shared" si="625"/>
        <v>Y</v>
      </c>
      <c r="P2124" s="1" t="str">
        <f t="shared" si="630"/>
        <v>Y</v>
      </c>
      <c r="Q2124" s="1" t="str">
        <f>""</f>
        <v/>
      </c>
    </row>
    <row r="2125" spans="1:17" x14ac:dyDescent="0.3">
      <c r="A2125" s="1" t="str">
        <f t="shared" si="627"/>
        <v>ZC</v>
      </c>
      <c r="B2125" s="1" t="str">
        <f>"GGFS035"</f>
        <v>GGFS035</v>
      </c>
      <c r="C2125" s="1" t="str">
        <f>"위점막하 종양"</f>
        <v>위점막하 종양</v>
      </c>
      <c r="D2125" s="1" t="str">
        <f>"위내시경 검사에서 위점막하 종양( cm)이 관찰됩니다. 위 점막근판이하의 조직에서 발생하는 종양이며 크기가 크지 않은 경우 양성 종양일 가능성이 높습니다. 위 점막에서 발생하는 것이 아니므로 조직검사보다는 초음파내시경을 통해 종괴의 내부 성상이나 크기를 감별합니다."</f>
        <v>위내시경 검사에서 위점막하 종양( cm)이 관찰됩니다. 위 점막근판이하의 조직에서 발생하는 종양이며 크기가 크지 않은 경우 양성 종양일 가능성이 높습니다. 위 점막에서 발생하는 것이 아니므로 조직검사보다는 초음파내시경을 통해 종괴의 내부 성상이나 크기를 감별합니다.</v>
      </c>
      <c r="E2125" s="1" t="str">
        <f>""</f>
        <v/>
      </c>
      <c r="F2125" s="1" t="str">
        <f>""</f>
        <v/>
      </c>
      <c r="G2125" s="1" t="str">
        <f>""</f>
        <v/>
      </c>
      <c r="H2125" s="1" t="str">
        <f>""</f>
        <v/>
      </c>
      <c r="I2125" s="1" t="str">
        <f>""</f>
        <v/>
      </c>
      <c r="J2125" s="1" t="str">
        <f>""</f>
        <v/>
      </c>
      <c r="K2125" s="1" t="str">
        <f>""</f>
        <v/>
      </c>
      <c r="L2125" s="1" t="str">
        <f t="shared" si="628"/>
        <v>R</v>
      </c>
      <c r="M2125" s="1" t="str">
        <f>""</f>
        <v/>
      </c>
      <c r="N2125" s="1" t="str">
        <f t="shared" si="629"/>
        <v>Y</v>
      </c>
      <c r="O2125" s="1" t="str">
        <f t="shared" si="625"/>
        <v>Y</v>
      </c>
      <c r="P2125" s="1" t="str">
        <f t="shared" si="630"/>
        <v>Y</v>
      </c>
      <c r="Q2125" s="1" t="str">
        <f>""</f>
        <v/>
      </c>
    </row>
    <row r="2126" spans="1:17" x14ac:dyDescent="0.3">
      <c r="A2126" s="1" t="str">
        <f t="shared" si="627"/>
        <v>ZC</v>
      </c>
      <c r="B2126" s="1" t="str">
        <f>"GGFS035-1"</f>
        <v>GGFS035-1</v>
      </c>
      <c r="C2126" s="1" t="str">
        <f>"위점막하 종양(변화없음)"</f>
        <v>위점막하 종양(변화없음)</v>
      </c>
      <c r="D2126" s="1" t="str">
        <f>"위내시경 검사에서 위점막하 종양이 변화없이 관찰됩니다. 위 점막근판이하의 조직에서 발생하는 종양이며 크기가 크지 않은 경우 양성 종양일 가능성이 높습니다. 위 점막에서 발생하는 것이 아니므로 조직검사보다는 초음파내시경을 통해 종괴의 내부 성상이나 크기를 감별합니다."</f>
        <v>위내시경 검사에서 위점막하 종양이 변화없이 관찰됩니다. 위 점막근판이하의 조직에서 발생하는 종양이며 크기가 크지 않은 경우 양성 종양일 가능성이 높습니다. 위 점막에서 발생하는 것이 아니므로 조직검사보다는 초음파내시경을 통해 종괴의 내부 성상이나 크기를 감별합니다.</v>
      </c>
      <c r="E2126" s="1" t="str">
        <f>""</f>
        <v/>
      </c>
      <c r="F2126" s="1" t="str">
        <f>""</f>
        <v/>
      </c>
      <c r="G2126" s="1" t="str">
        <f>""</f>
        <v/>
      </c>
      <c r="H2126" s="1" t="str">
        <f>""</f>
        <v/>
      </c>
      <c r="I2126" s="1" t="str">
        <f>""</f>
        <v/>
      </c>
      <c r="J2126" s="1" t="str">
        <f>""</f>
        <v/>
      </c>
      <c r="K2126" s="1" t="str">
        <f>""</f>
        <v/>
      </c>
      <c r="L2126" s="1" t="str">
        <f t="shared" si="628"/>
        <v>R</v>
      </c>
      <c r="M2126" s="1" t="str">
        <f>""</f>
        <v/>
      </c>
      <c r="N2126" s="1" t="str">
        <f t="shared" si="629"/>
        <v>Y</v>
      </c>
      <c r="O2126" s="1" t="str">
        <f t="shared" si="625"/>
        <v>Y</v>
      </c>
      <c r="P2126" s="1" t="str">
        <f t="shared" si="630"/>
        <v>Y</v>
      </c>
      <c r="Q2126" s="1" t="str">
        <f>""</f>
        <v/>
      </c>
    </row>
    <row r="2127" spans="1:17" x14ac:dyDescent="0.3">
      <c r="A2127" s="1" t="str">
        <f t="shared" si="627"/>
        <v>ZC</v>
      </c>
      <c r="B2127" s="1" t="str">
        <f>"GGFS036"</f>
        <v>GGFS036</v>
      </c>
      <c r="C2127" s="1" t="str">
        <f>"활동기 위궤양"</f>
        <v>활동기 위궤양</v>
      </c>
      <c r="D2127" s="1" t="str">
        <f>"위내시경 검사에서 활동기 위궤양이 관찰됩니다. 약물치료와 추적 위내시경 검사가 필요하므로 소화기내과 진료를 받으시기 바랍니다."</f>
        <v>위내시경 검사에서 활동기 위궤양이 관찰됩니다. 약물치료와 추적 위내시경 검사가 필요하므로 소화기내과 진료를 받으시기 바랍니다.</v>
      </c>
      <c r="E2127" s="1" t="str">
        <f>""</f>
        <v/>
      </c>
      <c r="F2127" s="1" t="str">
        <f>""</f>
        <v/>
      </c>
      <c r="G2127" s="1" t="str">
        <f>""</f>
        <v/>
      </c>
      <c r="H2127" s="1" t="str">
        <f>""</f>
        <v/>
      </c>
      <c r="I2127" s="1" t="str">
        <f>""</f>
        <v/>
      </c>
      <c r="J2127" s="1" t="str">
        <f>""</f>
        <v/>
      </c>
      <c r="K2127" s="1" t="str">
        <f>""</f>
        <v/>
      </c>
      <c r="L2127" s="1" t="str">
        <f t="shared" si="628"/>
        <v>R</v>
      </c>
      <c r="M2127" s="1" t="str">
        <f>""</f>
        <v/>
      </c>
      <c r="N2127" s="1" t="str">
        <f t="shared" si="629"/>
        <v>Y</v>
      </c>
      <c r="O2127" s="1" t="str">
        <f t="shared" si="625"/>
        <v>Y</v>
      </c>
      <c r="P2127" s="1" t="str">
        <f t="shared" si="630"/>
        <v>Y</v>
      </c>
      <c r="Q2127" s="1" t="str">
        <f>""</f>
        <v/>
      </c>
    </row>
    <row r="2128" spans="1:17" x14ac:dyDescent="0.3">
      <c r="A2128" s="1" t="str">
        <f t="shared" si="627"/>
        <v>ZC</v>
      </c>
      <c r="B2128" s="1" t="str">
        <f>"GGFS036-1"</f>
        <v>GGFS036-1</v>
      </c>
      <c r="C2128" s="1" t="str">
        <f>"치유기 위궤양"</f>
        <v>치유기 위궤양</v>
      </c>
      <c r="D2128" s="1" t="str">
        <f>"위내시경 검사에서 치유기 위궤양이 관찰됩니다. 약물치료와 추적 위내시경 검사가 필요하므로 소화기내과 진료를 받으시기 바랍니다."</f>
        <v>위내시경 검사에서 치유기 위궤양이 관찰됩니다. 약물치료와 추적 위내시경 검사가 필요하므로 소화기내과 진료를 받으시기 바랍니다.</v>
      </c>
      <c r="E2128" s="1" t="str">
        <f>""</f>
        <v/>
      </c>
      <c r="F2128" s="1" t="str">
        <f>""</f>
        <v/>
      </c>
      <c r="G2128" s="1" t="str">
        <f>""</f>
        <v/>
      </c>
      <c r="H2128" s="1" t="str">
        <f>""</f>
        <v/>
      </c>
      <c r="I2128" s="1" t="str">
        <f>""</f>
        <v/>
      </c>
      <c r="J2128" s="1" t="str">
        <f>""</f>
        <v/>
      </c>
      <c r="K2128" s="1" t="str">
        <f>""</f>
        <v/>
      </c>
      <c r="L2128" s="1" t="str">
        <f t="shared" si="628"/>
        <v>R</v>
      </c>
      <c r="M2128" s="1" t="str">
        <f>""</f>
        <v/>
      </c>
      <c r="N2128" s="1" t="str">
        <f t="shared" si="629"/>
        <v>Y</v>
      </c>
      <c r="O2128" s="1" t="str">
        <f t="shared" ref="O2128:O2191" si="631">"Y"</f>
        <v>Y</v>
      </c>
      <c r="P2128" s="1" t="str">
        <f t="shared" si="630"/>
        <v>Y</v>
      </c>
      <c r="Q2128" s="1" t="str">
        <f>""</f>
        <v/>
      </c>
    </row>
    <row r="2129" spans="1:17" x14ac:dyDescent="0.3">
      <c r="A2129" s="1" t="str">
        <f t="shared" si="627"/>
        <v>ZC</v>
      </c>
      <c r="B2129" s="1" t="str">
        <f>"GGFS037"</f>
        <v>GGFS037</v>
      </c>
      <c r="C2129" s="1" t="str">
        <f>"위궤양 (헬리코박터 양성)"</f>
        <v>위궤양 (헬리코박터 양성)</v>
      </c>
      <c r="D2129" s="1" t="s">
        <v>609</v>
      </c>
      <c r="E2129" s="1" t="str">
        <f>""</f>
        <v/>
      </c>
      <c r="F2129" s="1" t="str">
        <f>""</f>
        <v/>
      </c>
      <c r="G2129" s="1" t="str">
        <f>""</f>
        <v/>
      </c>
      <c r="H2129" s="1" t="str">
        <f>""</f>
        <v/>
      </c>
      <c r="I2129" s="1" t="str">
        <f>""</f>
        <v/>
      </c>
      <c r="J2129" s="1" t="str">
        <f>""</f>
        <v/>
      </c>
      <c r="K2129" s="1" t="str">
        <f>""</f>
        <v/>
      </c>
      <c r="L2129" s="1" t="str">
        <f t="shared" si="628"/>
        <v>R</v>
      </c>
      <c r="M2129" s="1" t="str">
        <f>""</f>
        <v/>
      </c>
      <c r="N2129" s="1" t="str">
        <f t="shared" si="629"/>
        <v>Y</v>
      </c>
      <c r="O2129" s="1" t="str">
        <f t="shared" si="631"/>
        <v>Y</v>
      </c>
      <c r="P2129" s="1" t="str">
        <f t="shared" si="630"/>
        <v>Y</v>
      </c>
      <c r="Q2129" s="1" t="str">
        <f>""</f>
        <v/>
      </c>
    </row>
    <row r="2130" spans="1:17" x14ac:dyDescent="0.3">
      <c r="A2130" s="1" t="str">
        <f t="shared" si="627"/>
        <v>ZC</v>
      </c>
      <c r="B2130" s="1" t="str">
        <f>"GGFS038"</f>
        <v>GGFS038</v>
      </c>
      <c r="C2130" s="1" t="str">
        <f>"반흔기 위궤양"</f>
        <v>반흔기 위궤양</v>
      </c>
      <c r="D2130" s="1" t="str">
        <f>"위내시경 검사에서 위궤양 치유흔적이 관찰됩니다. 현재 활동성 궤양은 없으나 추후 재발할 가능성이 있으므로 정기적인 위내시경 검사를 받으시기 바랍니다."</f>
        <v>위내시경 검사에서 위궤양 치유흔적이 관찰됩니다. 현재 활동성 궤양은 없으나 추후 재발할 가능성이 있으므로 정기적인 위내시경 검사를 받으시기 바랍니다.</v>
      </c>
      <c r="E2130" s="1" t="str">
        <f>""</f>
        <v/>
      </c>
      <c r="F2130" s="1" t="str">
        <f>""</f>
        <v/>
      </c>
      <c r="G2130" s="1" t="str">
        <f>""</f>
        <v/>
      </c>
      <c r="H2130" s="1" t="str">
        <f>""</f>
        <v/>
      </c>
      <c r="I2130" s="1" t="str">
        <f>""</f>
        <v/>
      </c>
      <c r="J2130" s="1" t="str">
        <f>""</f>
        <v/>
      </c>
      <c r="K2130" s="1" t="str">
        <f>""</f>
        <v/>
      </c>
      <c r="L2130" s="1" t="str">
        <f t="shared" si="628"/>
        <v>R</v>
      </c>
      <c r="M2130" s="1" t="str">
        <f>""</f>
        <v/>
      </c>
      <c r="N2130" s="1" t="str">
        <f t="shared" si="629"/>
        <v>Y</v>
      </c>
      <c r="O2130" s="1" t="str">
        <f t="shared" si="631"/>
        <v>Y</v>
      </c>
      <c r="P2130" s="1" t="str">
        <f t="shared" si="630"/>
        <v>Y</v>
      </c>
      <c r="Q2130" s="1" t="str">
        <f>""</f>
        <v/>
      </c>
    </row>
    <row r="2131" spans="1:17" x14ac:dyDescent="0.3">
      <c r="A2131" s="1" t="str">
        <f t="shared" si="627"/>
        <v>ZC</v>
      </c>
      <c r="B2131" s="1" t="str">
        <f>"GGFS039"</f>
        <v>GGFS039</v>
      </c>
      <c r="C2131" s="1" t="str">
        <f>"위수술 상태"</f>
        <v>위수술 상태</v>
      </c>
      <c r="D2131" s="1" t="str">
        <f>"위내시경에서 위 수술 후 상태가 관찰됩니다. 재발의 소견은 관찰되지 않습니다. 정기적으로 추적관찰하기 바랍니다."</f>
        <v>위내시경에서 위 수술 후 상태가 관찰됩니다. 재발의 소견은 관찰되지 않습니다. 정기적으로 추적관찰하기 바랍니다.</v>
      </c>
      <c r="E2131" s="1" t="str">
        <f>""</f>
        <v/>
      </c>
      <c r="F2131" s="1" t="str">
        <f>""</f>
        <v/>
      </c>
      <c r="G2131" s="1" t="str">
        <f>""</f>
        <v/>
      </c>
      <c r="H2131" s="1" t="str">
        <f>""</f>
        <v/>
      </c>
      <c r="I2131" s="1" t="str">
        <f>""</f>
        <v/>
      </c>
      <c r="J2131" s="1" t="str">
        <f>""</f>
        <v/>
      </c>
      <c r="K2131" s="1" t="str">
        <f>""</f>
        <v/>
      </c>
      <c r="L2131" s="1" t="str">
        <f t="shared" si="628"/>
        <v>R</v>
      </c>
      <c r="M2131" s="1" t="str">
        <f>""</f>
        <v/>
      </c>
      <c r="N2131" s="1" t="str">
        <f t="shared" si="629"/>
        <v>Y</v>
      </c>
      <c r="O2131" s="1" t="str">
        <f t="shared" si="631"/>
        <v>Y</v>
      </c>
      <c r="P2131" s="1" t="str">
        <f t="shared" si="630"/>
        <v>Y</v>
      </c>
      <c r="Q2131" s="1" t="str">
        <f>""</f>
        <v/>
      </c>
    </row>
    <row r="2132" spans="1:17" x14ac:dyDescent="0.3">
      <c r="A2132" s="1" t="str">
        <f t="shared" si="627"/>
        <v>ZC</v>
      </c>
      <c r="B2132" s="1" t="str">
        <f>"GGFS040"</f>
        <v>GGFS040</v>
      </c>
      <c r="C2132" s="1" t="str">
        <f>"바렛식도"</f>
        <v>바렛식도</v>
      </c>
      <c r="D2132" s="1" t="s">
        <v>610</v>
      </c>
      <c r="E2132" s="1" t="str">
        <f>""</f>
        <v/>
      </c>
      <c r="F2132" s="1" t="str">
        <f>""</f>
        <v/>
      </c>
      <c r="G2132" s="1" t="str">
        <f>""</f>
        <v/>
      </c>
      <c r="H2132" s="1" t="str">
        <f>""</f>
        <v/>
      </c>
      <c r="I2132" s="1" t="str">
        <f>""</f>
        <v/>
      </c>
      <c r="J2132" s="1" t="str">
        <f>""</f>
        <v/>
      </c>
      <c r="K2132" s="1" t="str">
        <f>""</f>
        <v/>
      </c>
      <c r="L2132" s="1" t="str">
        <f t="shared" si="628"/>
        <v>R</v>
      </c>
      <c r="M2132" s="1" t="str">
        <f>""</f>
        <v/>
      </c>
      <c r="N2132" s="1" t="str">
        <f t="shared" si="629"/>
        <v>Y</v>
      </c>
      <c r="O2132" s="1" t="str">
        <f t="shared" si="631"/>
        <v>Y</v>
      </c>
      <c r="P2132" s="1" t="str">
        <f t="shared" si="630"/>
        <v>Y</v>
      </c>
      <c r="Q2132" s="1" t="str">
        <f>""</f>
        <v/>
      </c>
    </row>
    <row r="2133" spans="1:17" x14ac:dyDescent="0.3">
      <c r="A2133" s="1" t="str">
        <f t="shared" si="627"/>
        <v>ZC</v>
      </c>
      <c r="B2133" s="1" t="str">
        <f>"GGFS041"</f>
        <v>GGFS041</v>
      </c>
      <c r="C2133" s="1" t="str">
        <f>"바렛식도 의심(조직검사 정상)"</f>
        <v>바렛식도 의심(조직검사 정상)</v>
      </c>
      <c r="D2133" s="1" t="str">
        <f>"위내시경에서 바렛 식도가 의심되어 시행한 조직검사에서 바렛 식도를 증명할 만한 소견은 나오질 않았습니다. 특별한 치료나 검사는 필요 없으며 1년 뒤에 위내시경 검사를 다시 하셔서 병소의 변화 유무를 확인하시기 바랍니다."</f>
        <v>위내시경에서 바렛 식도가 의심되어 시행한 조직검사에서 바렛 식도를 증명할 만한 소견은 나오질 않았습니다. 특별한 치료나 검사는 필요 없으며 1년 뒤에 위내시경 검사를 다시 하셔서 병소의 변화 유무를 확인하시기 바랍니다.</v>
      </c>
      <c r="E2133" s="1" t="str">
        <f>""</f>
        <v/>
      </c>
      <c r="F2133" s="1" t="str">
        <f>""</f>
        <v/>
      </c>
      <c r="G2133" s="1" t="str">
        <f>""</f>
        <v/>
      </c>
      <c r="H2133" s="1" t="str">
        <f>""</f>
        <v/>
      </c>
      <c r="I2133" s="1" t="str">
        <f>""</f>
        <v/>
      </c>
      <c r="J2133" s="1" t="str">
        <f>""</f>
        <v/>
      </c>
      <c r="K2133" s="1" t="str">
        <f>""</f>
        <v/>
      </c>
      <c r="L2133" s="1" t="str">
        <f t="shared" si="628"/>
        <v>R</v>
      </c>
      <c r="M2133" s="1" t="str">
        <f>""</f>
        <v/>
      </c>
      <c r="N2133" s="1" t="str">
        <f t="shared" si="629"/>
        <v>Y</v>
      </c>
      <c r="O2133" s="1" t="str">
        <f t="shared" si="631"/>
        <v>Y</v>
      </c>
      <c r="P2133" s="1" t="str">
        <f t="shared" si="630"/>
        <v>Y</v>
      </c>
      <c r="Q2133" s="1" t="str">
        <f>""</f>
        <v/>
      </c>
    </row>
    <row r="2134" spans="1:17" x14ac:dyDescent="0.3">
      <c r="A2134" s="1" t="str">
        <f t="shared" si="627"/>
        <v>ZC</v>
      </c>
      <c r="B2134" s="1" t="str">
        <f>"GGFS042"</f>
        <v>GGFS042</v>
      </c>
      <c r="C2134" s="1" t="str">
        <f>"이소성 췌장"</f>
        <v>이소성 췌장</v>
      </c>
      <c r="D2134" s="1" t="s">
        <v>611</v>
      </c>
      <c r="E2134" s="1" t="str">
        <f>""</f>
        <v/>
      </c>
      <c r="F2134" s="1" t="str">
        <f>""</f>
        <v/>
      </c>
      <c r="G2134" s="1" t="str">
        <f>""</f>
        <v/>
      </c>
      <c r="H2134" s="1" t="str">
        <f>""</f>
        <v/>
      </c>
      <c r="I2134" s="1" t="str">
        <f>""</f>
        <v/>
      </c>
      <c r="J2134" s="1" t="str">
        <f>""</f>
        <v/>
      </c>
      <c r="K2134" s="1" t="str">
        <f>""</f>
        <v/>
      </c>
      <c r="L2134" s="1" t="str">
        <f t="shared" si="628"/>
        <v>R</v>
      </c>
      <c r="M2134" s="1" t="str">
        <f>""</f>
        <v/>
      </c>
      <c r="N2134" s="1" t="str">
        <f t="shared" si="629"/>
        <v>Y</v>
      </c>
      <c r="O2134" s="1" t="str">
        <f t="shared" si="631"/>
        <v>Y</v>
      </c>
      <c r="P2134" s="1" t="str">
        <f t="shared" si="630"/>
        <v>Y</v>
      </c>
      <c r="Q2134" s="1" t="str">
        <f>""</f>
        <v/>
      </c>
    </row>
    <row r="2135" spans="1:17" x14ac:dyDescent="0.3">
      <c r="A2135" s="1" t="str">
        <f t="shared" si="627"/>
        <v>ZC</v>
      </c>
      <c r="B2135" s="1" t="str">
        <f>"GGFS043"</f>
        <v>GGFS043</v>
      </c>
      <c r="C2135" s="1" t="str">
        <f>"이형성 의심"</f>
        <v>이형성 의심</v>
      </c>
      <c r="D2135" s="1" t="s">
        <v>612</v>
      </c>
      <c r="E2135" s="1" t="str">
        <f>""</f>
        <v/>
      </c>
      <c r="F2135" s="1" t="str">
        <f>""</f>
        <v/>
      </c>
      <c r="G2135" s="1" t="str">
        <f>""</f>
        <v/>
      </c>
      <c r="H2135" s="1" t="str">
        <f>""</f>
        <v/>
      </c>
      <c r="I2135" s="1" t="str">
        <f>""</f>
        <v/>
      </c>
      <c r="J2135" s="1" t="str">
        <f>""</f>
        <v/>
      </c>
      <c r="K2135" s="1" t="str">
        <f>""</f>
        <v/>
      </c>
      <c r="L2135" s="1" t="str">
        <f t="shared" si="628"/>
        <v>R</v>
      </c>
      <c r="M2135" s="1" t="str">
        <f>""</f>
        <v/>
      </c>
      <c r="N2135" s="1" t="str">
        <f t="shared" si="629"/>
        <v>Y</v>
      </c>
      <c r="O2135" s="1" t="str">
        <f t="shared" si="631"/>
        <v>Y</v>
      </c>
      <c r="P2135" s="1" t="str">
        <f t="shared" si="630"/>
        <v>Y</v>
      </c>
      <c r="Q2135" s="1" t="str">
        <f>""</f>
        <v/>
      </c>
    </row>
    <row r="2136" spans="1:17" x14ac:dyDescent="0.3">
      <c r="A2136" s="1" t="str">
        <f t="shared" si="627"/>
        <v>ZC</v>
      </c>
      <c r="B2136" s="1" t="str">
        <f>"GGFS047"</f>
        <v>GGFS047</v>
      </c>
      <c r="C2136" s="1" t="str">
        <f>"십이지장 용종(조직검사시행)"</f>
        <v>십이지장 용종(조직검사시행)</v>
      </c>
      <c r="D2136" s="1" t="str">
        <f>"위내시경 검사에서 십이지장내 용종이 관찰되어 조직검사를 시행하였습니다."</f>
        <v>위내시경 검사에서 십이지장내 용종이 관찰되어 조직검사를 시행하였습니다.</v>
      </c>
      <c r="E2136" s="1" t="str">
        <f>""</f>
        <v/>
      </c>
      <c r="F2136" s="1" t="str">
        <f>""</f>
        <v/>
      </c>
      <c r="G2136" s="1" t="str">
        <f>""</f>
        <v/>
      </c>
      <c r="H2136" s="1" t="str">
        <f>""</f>
        <v/>
      </c>
      <c r="I2136" s="1" t="str">
        <f>""</f>
        <v/>
      </c>
      <c r="J2136" s="1" t="str">
        <f>""</f>
        <v/>
      </c>
      <c r="K2136" s="1" t="str">
        <f>""</f>
        <v/>
      </c>
      <c r="L2136" s="1" t="str">
        <f t="shared" si="628"/>
        <v>R</v>
      </c>
      <c r="M2136" s="1" t="str">
        <f>""</f>
        <v/>
      </c>
      <c r="N2136" s="1" t="str">
        <f t="shared" si="629"/>
        <v>Y</v>
      </c>
      <c r="O2136" s="1" t="str">
        <f t="shared" si="631"/>
        <v>Y</v>
      </c>
      <c r="P2136" s="1" t="str">
        <f t="shared" si="630"/>
        <v>Y</v>
      </c>
      <c r="Q2136" s="1" t="str">
        <f>""</f>
        <v/>
      </c>
    </row>
    <row r="2137" spans="1:17" x14ac:dyDescent="0.3">
      <c r="A2137" s="1" t="str">
        <f t="shared" si="627"/>
        <v>ZC</v>
      </c>
      <c r="B2137" s="1" t="str">
        <f>"GGFS048"</f>
        <v>GGFS048</v>
      </c>
      <c r="C2137" s="1" t="str">
        <f>"헬리코박터 관련 위염 의증"</f>
        <v>헬리코박터 관련 위염 의증</v>
      </c>
      <c r="D2137" s="1" t="str">
        <f>"위내시경 검사에서 만성 위염의 원인 중에 헬리코박터균 감염에 의한 위염으로 생각됩니다. 헬리코박터 균 검사 양성시 제균 치료 고려 하십시오."</f>
        <v>위내시경 검사에서 만성 위염의 원인 중에 헬리코박터균 감염에 의한 위염으로 생각됩니다. 헬리코박터 균 검사 양성시 제균 치료 고려 하십시오.</v>
      </c>
      <c r="E2137" s="1" t="str">
        <f>""</f>
        <v/>
      </c>
      <c r="F2137" s="1" t="str">
        <f>""</f>
        <v/>
      </c>
      <c r="G2137" s="1" t="str">
        <f>""</f>
        <v/>
      </c>
      <c r="H2137" s="1" t="str">
        <f>""</f>
        <v/>
      </c>
      <c r="I2137" s="1" t="str">
        <f>""</f>
        <v/>
      </c>
      <c r="J2137" s="1" t="str">
        <f>""</f>
        <v/>
      </c>
      <c r="K2137" s="1" t="str">
        <f>""</f>
        <v/>
      </c>
      <c r="L2137" s="1" t="str">
        <f t="shared" si="628"/>
        <v>R</v>
      </c>
      <c r="M2137" s="1" t="str">
        <f>""</f>
        <v/>
      </c>
      <c r="N2137" s="1" t="str">
        <f t="shared" si="629"/>
        <v>Y</v>
      </c>
      <c r="O2137" s="1" t="str">
        <f t="shared" si="631"/>
        <v>Y</v>
      </c>
      <c r="P2137" s="1" t="str">
        <f t="shared" si="630"/>
        <v>Y</v>
      </c>
      <c r="Q2137" s="1" t="str">
        <f>""</f>
        <v/>
      </c>
    </row>
    <row r="2138" spans="1:17" x14ac:dyDescent="0.3">
      <c r="A2138" s="1" t="str">
        <f t="shared" si="627"/>
        <v>ZC</v>
      </c>
      <c r="B2138" s="1" t="str">
        <f>"GNBRUSG02"</f>
        <v>GNBRUSG02</v>
      </c>
      <c r="C2138" s="1" t="str">
        <f>"(유방초음파) 단순 유방 낭종"</f>
        <v>(유방초음파) 단순 유방 낭종</v>
      </c>
      <c r="D2138" s="1" t="s">
        <v>613</v>
      </c>
      <c r="E2138" s="1" t="str">
        <f t="shared" ref="E2138:E2149" si="632">"WOK02"</f>
        <v>WOK02</v>
      </c>
      <c r="F2138" s="1" t="str">
        <f>"PTM036"</f>
        <v>PTM036</v>
      </c>
      <c r="G2138" s="1" t="str">
        <f>""</f>
        <v/>
      </c>
      <c r="H2138" s="1" t="str">
        <f t="shared" ref="H2138:H2149" si="633">"REL11"</f>
        <v>REL11</v>
      </c>
      <c r="I2138" s="1" t="str">
        <f>""</f>
        <v/>
      </c>
      <c r="J2138" s="1" t="str">
        <f>""</f>
        <v/>
      </c>
      <c r="K2138" s="1" t="str">
        <f>""</f>
        <v/>
      </c>
      <c r="L2138" s="1" t="str">
        <f t="shared" si="628"/>
        <v>R</v>
      </c>
      <c r="M2138" s="1" t="str">
        <f t="shared" ref="M2138:M2149" si="634">"T21"</f>
        <v>T21</v>
      </c>
      <c r="N2138" s="1" t="str">
        <f t="shared" si="629"/>
        <v>Y</v>
      </c>
      <c r="O2138" s="1" t="str">
        <f t="shared" si="631"/>
        <v>Y</v>
      </c>
      <c r="P2138" s="1" t="str">
        <f t="shared" si="630"/>
        <v>Y</v>
      </c>
      <c r="Q2138" s="1" t="str">
        <f t="shared" ref="Q2138:Q2201" si="635">"A"</f>
        <v>A</v>
      </c>
    </row>
    <row r="2139" spans="1:17" x14ac:dyDescent="0.3">
      <c r="A2139" s="1" t="str">
        <f t="shared" si="627"/>
        <v>ZC</v>
      </c>
      <c r="B2139" s="1" t="str">
        <f>"GNBRUSG03"</f>
        <v>GNBRUSG03</v>
      </c>
      <c r="C2139" s="1" t="str">
        <f>"(유방초음파) 결절"</f>
        <v>(유방초음파) 결절</v>
      </c>
      <c r="D2139" s="1" t="s">
        <v>614</v>
      </c>
      <c r="E2139" s="1" t="str">
        <f t="shared" si="632"/>
        <v>WOK02</v>
      </c>
      <c r="F2139" s="1" t="str">
        <f>"PTM036"</f>
        <v>PTM036</v>
      </c>
      <c r="G2139" s="1" t="str">
        <f>""</f>
        <v/>
      </c>
      <c r="H2139" s="1" t="str">
        <f t="shared" si="633"/>
        <v>REL11</v>
      </c>
      <c r="I2139" s="1" t="str">
        <f>""</f>
        <v/>
      </c>
      <c r="J2139" s="1" t="str">
        <f>""</f>
        <v/>
      </c>
      <c r="K2139" s="1" t="str">
        <f>""</f>
        <v/>
      </c>
      <c r="L2139" s="1" t="str">
        <f t="shared" si="628"/>
        <v>R</v>
      </c>
      <c r="M2139" s="1" t="str">
        <f t="shared" si="634"/>
        <v>T21</v>
      </c>
      <c r="N2139" s="1" t="str">
        <f t="shared" si="629"/>
        <v>Y</v>
      </c>
      <c r="O2139" s="1" t="str">
        <f t="shared" si="631"/>
        <v>Y</v>
      </c>
      <c r="P2139" s="1" t="str">
        <f t="shared" si="630"/>
        <v>Y</v>
      </c>
      <c r="Q2139" s="1" t="str">
        <f t="shared" si="635"/>
        <v>A</v>
      </c>
    </row>
    <row r="2140" spans="1:17" x14ac:dyDescent="0.3">
      <c r="A2140" s="1" t="str">
        <f t="shared" si="627"/>
        <v>ZC</v>
      </c>
      <c r="B2140" s="1" t="str">
        <f>"GNBRUSG04"</f>
        <v>GNBRUSG04</v>
      </c>
      <c r="C2140" s="1" t="str">
        <f>"(유방초음파) 비정상"</f>
        <v>(유방초음파) 비정상</v>
      </c>
      <c r="D2140" s="1" t="str">
        <f>"유방초음파 검사 결과…"</f>
        <v>유방초음파 검사 결과…</v>
      </c>
      <c r="E2140" s="1" t="str">
        <f t="shared" si="632"/>
        <v>WOK02</v>
      </c>
      <c r="F2140" s="1" t="str">
        <f>"PTM04"</f>
        <v>PTM04</v>
      </c>
      <c r="G2140" s="1" t="str">
        <f>""</f>
        <v/>
      </c>
      <c r="H2140" s="1" t="str">
        <f t="shared" si="633"/>
        <v>REL11</v>
      </c>
      <c r="I2140" s="1" t="str">
        <f>""</f>
        <v/>
      </c>
      <c r="J2140" s="1" t="str">
        <f>""</f>
        <v/>
      </c>
      <c r="K2140" s="1" t="str">
        <f>""</f>
        <v/>
      </c>
      <c r="L2140" s="1" t="str">
        <f t="shared" si="628"/>
        <v>R</v>
      </c>
      <c r="M2140" s="1" t="str">
        <f t="shared" si="634"/>
        <v>T21</v>
      </c>
      <c r="N2140" s="1" t="str">
        <f t="shared" si="629"/>
        <v>Y</v>
      </c>
      <c r="O2140" s="1" t="str">
        <f t="shared" si="631"/>
        <v>Y</v>
      </c>
      <c r="P2140" s="1" t="str">
        <f t="shared" si="630"/>
        <v>Y</v>
      </c>
      <c r="Q2140" s="1" t="str">
        <f t="shared" si="635"/>
        <v>A</v>
      </c>
    </row>
    <row r="2141" spans="1:17" x14ac:dyDescent="0.3">
      <c r="A2141" s="1" t="str">
        <f t="shared" si="627"/>
        <v>ZC</v>
      </c>
      <c r="B2141" s="1" t="str">
        <f>"GNBRUSG05"</f>
        <v>GNBRUSG05</v>
      </c>
      <c r="C2141" s="1" t="str">
        <f>"(유방초음파) 경계 불규칙한 낭종 - 진료권고"</f>
        <v>(유방초음파) 경계 불규칙한 낭종 - 진료권고</v>
      </c>
      <c r="D2141" s="1" t="s">
        <v>615</v>
      </c>
      <c r="E2141" s="1" t="str">
        <f t="shared" si="632"/>
        <v>WOK02</v>
      </c>
      <c r="F2141" s="1" t="str">
        <f>"PTM033"</f>
        <v>PTM033</v>
      </c>
      <c r="G2141" s="1" t="str">
        <f>""</f>
        <v/>
      </c>
      <c r="H2141" s="1" t="str">
        <f t="shared" si="633"/>
        <v>REL11</v>
      </c>
      <c r="I2141" s="1" t="str">
        <f>""</f>
        <v/>
      </c>
      <c r="J2141" s="1" t="str">
        <f>""</f>
        <v/>
      </c>
      <c r="K2141" s="1" t="str">
        <f>""</f>
        <v/>
      </c>
      <c r="L2141" s="1" t="str">
        <f t="shared" si="628"/>
        <v>R</v>
      </c>
      <c r="M2141" s="1" t="str">
        <f t="shared" si="634"/>
        <v>T21</v>
      </c>
      <c r="N2141" s="1" t="str">
        <f t="shared" si="629"/>
        <v>Y</v>
      </c>
      <c r="O2141" s="1" t="str">
        <f t="shared" si="631"/>
        <v>Y</v>
      </c>
      <c r="P2141" s="1" t="str">
        <f t="shared" si="630"/>
        <v>Y</v>
      </c>
      <c r="Q2141" s="1" t="str">
        <f t="shared" si="635"/>
        <v>A</v>
      </c>
    </row>
    <row r="2142" spans="1:17" x14ac:dyDescent="0.3">
      <c r="A2142" s="1" t="str">
        <f t="shared" si="627"/>
        <v>ZC</v>
      </c>
      <c r="B2142" s="1" t="str">
        <f>"GNBRUSG06"</f>
        <v>GNBRUSG06</v>
      </c>
      <c r="C2142" s="1" t="s">
        <v>616</v>
      </c>
      <c r="D2142" s="1" t="s">
        <v>617</v>
      </c>
      <c r="E2142" s="1" t="str">
        <f t="shared" si="632"/>
        <v>WOK02</v>
      </c>
      <c r="F2142" s="1" t="str">
        <f>"PTM033"</f>
        <v>PTM033</v>
      </c>
      <c r="G2142" s="1" t="str">
        <f>""</f>
        <v/>
      </c>
      <c r="H2142" s="1" t="str">
        <f t="shared" si="633"/>
        <v>REL11</v>
      </c>
      <c r="I2142" s="1" t="str">
        <f>""</f>
        <v/>
      </c>
      <c r="J2142" s="1" t="str">
        <f>""</f>
        <v/>
      </c>
      <c r="K2142" s="1" t="str">
        <f>""</f>
        <v/>
      </c>
      <c r="L2142" s="1" t="str">
        <f t="shared" si="628"/>
        <v>R</v>
      </c>
      <c r="M2142" s="1" t="str">
        <f t="shared" si="634"/>
        <v>T21</v>
      </c>
      <c r="N2142" s="1" t="str">
        <f t="shared" si="629"/>
        <v>Y</v>
      </c>
      <c r="O2142" s="1" t="str">
        <f t="shared" si="631"/>
        <v>Y</v>
      </c>
      <c r="P2142" s="1" t="str">
        <f t="shared" si="630"/>
        <v>Y</v>
      </c>
      <c r="Q2142" s="1" t="str">
        <f t="shared" si="635"/>
        <v>A</v>
      </c>
    </row>
    <row r="2143" spans="1:17" x14ac:dyDescent="0.3">
      <c r="A2143" s="1" t="str">
        <f t="shared" si="627"/>
        <v>ZC</v>
      </c>
      <c r="B2143" s="1" t="str">
        <f>"GNBRUSG07"</f>
        <v>GNBRUSG07</v>
      </c>
      <c r="C2143" s="1" t="str">
        <f>"(유방초음파) 종괴 - 진료권고"</f>
        <v>(유방초음파) 종괴 - 진료권고</v>
      </c>
      <c r="D2143" s="1" t="str">
        <f>"유방초음파 검사 결과 유방 종괴가 의심되는 소견이 확인됩니다. 유방클리닉에서 진료를 받으시기 바랍니다."</f>
        <v>유방초음파 검사 결과 유방 종괴가 의심되는 소견이 확인됩니다. 유방클리닉에서 진료를 받으시기 바랍니다.</v>
      </c>
      <c r="E2143" s="1" t="str">
        <f t="shared" si="632"/>
        <v>WOK02</v>
      </c>
      <c r="F2143" s="1" t="str">
        <f>"PTM04"</f>
        <v>PTM04</v>
      </c>
      <c r="G2143" s="1" t="str">
        <f>""</f>
        <v/>
      </c>
      <c r="H2143" s="1" t="str">
        <f t="shared" si="633"/>
        <v>REL11</v>
      </c>
      <c r="I2143" s="1" t="str">
        <f>""</f>
        <v/>
      </c>
      <c r="J2143" s="1" t="str">
        <f>""</f>
        <v/>
      </c>
      <c r="K2143" s="1" t="str">
        <f>""</f>
        <v/>
      </c>
      <c r="L2143" s="1" t="str">
        <f t="shared" si="628"/>
        <v>R</v>
      </c>
      <c r="M2143" s="1" t="str">
        <f t="shared" si="634"/>
        <v>T21</v>
      </c>
      <c r="N2143" s="1" t="str">
        <f t="shared" si="629"/>
        <v>Y</v>
      </c>
      <c r="O2143" s="1" t="str">
        <f t="shared" si="631"/>
        <v>Y</v>
      </c>
      <c r="P2143" s="1" t="str">
        <f t="shared" si="630"/>
        <v>Y</v>
      </c>
      <c r="Q2143" s="1" t="str">
        <f t="shared" si="635"/>
        <v>A</v>
      </c>
    </row>
    <row r="2144" spans="1:17" x14ac:dyDescent="0.3">
      <c r="A2144" s="1" t="str">
        <f t="shared" si="627"/>
        <v>ZC</v>
      </c>
      <c r="B2144" s="1" t="str">
        <f>"GNBRUSG08"</f>
        <v>GNBRUSG08</v>
      </c>
      <c r="C2144" s="1" t="str">
        <f>"(유방초음파) 미세석회화 - 진료권고"</f>
        <v>(유방초음파) 미세석회화 - 진료권고</v>
      </c>
      <c r="D2144" s="1" t="str">
        <f>"유방초음파 검사 결과 미세석회화가 관찰됩니다. 미세석회화는 그 분포와 모양에 따라 유방암과의 관련이 있을 수 있으므로 정확한 진단을 위하여 반드시 유방클리닉에서 진료를 받으시기 바랍니다."</f>
        <v>유방초음파 검사 결과 미세석회화가 관찰됩니다. 미세석회화는 그 분포와 모양에 따라 유방암과의 관련이 있을 수 있으므로 정확한 진단을 위하여 반드시 유방클리닉에서 진료를 받으시기 바랍니다.</v>
      </c>
      <c r="E2144" s="1" t="str">
        <f t="shared" si="632"/>
        <v>WOK02</v>
      </c>
      <c r="F2144" s="1" t="str">
        <f>"PTM033"</f>
        <v>PTM033</v>
      </c>
      <c r="G2144" s="1" t="str">
        <f>""</f>
        <v/>
      </c>
      <c r="H2144" s="1" t="str">
        <f t="shared" si="633"/>
        <v>REL11</v>
      </c>
      <c r="I2144" s="1" t="str">
        <f>""</f>
        <v/>
      </c>
      <c r="J2144" s="1" t="str">
        <f>""</f>
        <v/>
      </c>
      <c r="K2144" s="1" t="str">
        <f>""</f>
        <v/>
      </c>
      <c r="L2144" s="1" t="str">
        <f t="shared" si="628"/>
        <v>R</v>
      </c>
      <c r="M2144" s="1" t="str">
        <f t="shared" si="634"/>
        <v>T21</v>
      </c>
      <c r="N2144" s="1" t="str">
        <f t="shared" si="629"/>
        <v>Y</v>
      </c>
      <c r="O2144" s="1" t="str">
        <f t="shared" si="631"/>
        <v>Y</v>
      </c>
      <c r="P2144" s="1" t="str">
        <f t="shared" si="630"/>
        <v>Y</v>
      </c>
      <c r="Q2144" s="1" t="str">
        <f t="shared" si="635"/>
        <v>A</v>
      </c>
    </row>
    <row r="2145" spans="1:17" x14ac:dyDescent="0.3">
      <c r="A2145" s="1" t="str">
        <f t="shared" si="627"/>
        <v>ZC</v>
      </c>
      <c r="B2145" s="1" t="str">
        <f>"GNBRUSG09"</f>
        <v>GNBRUSG09</v>
      </c>
      <c r="C2145" s="1" t="str">
        <f>"(유방초음파) 격막성 낭종 - 진료권고"</f>
        <v>(유방초음파) 격막성 낭종 - 진료권고</v>
      </c>
      <c r="D2145" s="1" t="s">
        <v>618</v>
      </c>
      <c r="E2145" s="1" t="str">
        <f t="shared" si="632"/>
        <v>WOK02</v>
      </c>
      <c r="F2145" s="1" t="str">
        <f>"PTM033"</f>
        <v>PTM033</v>
      </c>
      <c r="G2145" s="1" t="str">
        <f>""</f>
        <v/>
      </c>
      <c r="H2145" s="1" t="str">
        <f t="shared" si="633"/>
        <v>REL11</v>
      </c>
      <c r="I2145" s="1" t="str">
        <f>""</f>
        <v/>
      </c>
      <c r="J2145" s="1" t="str">
        <f>""</f>
        <v/>
      </c>
      <c r="K2145" s="1" t="str">
        <f>""</f>
        <v/>
      </c>
      <c r="L2145" s="1" t="str">
        <f t="shared" si="628"/>
        <v>R</v>
      </c>
      <c r="M2145" s="1" t="str">
        <f t="shared" si="634"/>
        <v>T21</v>
      </c>
      <c r="N2145" s="1" t="str">
        <f t="shared" si="629"/>
        <v>Y</v>
      </c>
      <c r="O2145" s="1" t="str">
        <f t="shared" si="631"/>
        <v>Y</v>
      </c>
      <c r="P2145" s="1" t="str">
        <f t="shared" si="630"/>
        <v>Y</v>
      </c>
      <c r="Q2145" s="1" t="str">
        <f t="shared" si="635"/>
        <v>A</v>
      </c>
    </row>
    <row r="2146" spans="1:17" x14ac:dyDescent="0.3">
      <c r="A2146" s="1" t="str">
        <f t="shared" si="627"/>
        <v>ZC</v>
      </c>
      <c r="B2146" s="1" t="str">
        <f>"GNBRUSG10"</f>
        <v>GNBRUSG10</v>
      </c>
      <c r="C2146" s="1" t="str">
        <f>"(유방초음파) 보형물 삽입"</f>
        <v>(유방초음파) 보형물 삽입</v>
      </c>
      <c r="D2146" s="1" t="s">
        <v>619</v>
      </c>
      <c r="E2146" s="1" t="str">
        <f t="shared" si="632"/>
        <v>WOK02</v>
      </c>
      <c r="F2146" s="1" t="str">
        <f>"PTM04"</f>
        <v>PTM04</v>
      </c>
      <c r="G2146" s="1" t="str">
        <f>""</f>
        <v/>
      </c>
      <c r="H2146" s="1" t="str">
        <f t="shared" si="633"/>
        <v>REL11</v>
      </c>
      <c r="I2146" s="1" t="str">
        <f>""</f>
        <v/>
      </c>
      <c r="J2146" s="1" t="str">
        <f>""</f>
        <v/>
      </c>
      <c r="K2146" s="1" t="str">
        <f>""</f>
        <v/>
      </c>
      <c r="L2146" s="1" t="str">
        <f t="shared" si="628"/>
        <v>R</v>
      </c>
      <c r="M2146" s="1" t="str">
        <f t="shared" si="634"/>
        <v>T21</v>
      </c>
      <c r="N2146" s="1" t="str">
        <f t="shared" si="629"/>
        <v>Y</v>
      </c>
      <c r="O2146" s="1" t="str">
        <f t="shared" si="631"/>
        <v>Y</v>
      </c>
      <c r="P2146" s="1" t="str">
        <f t="shared" si="630"/>
        <v>Y</v>
      </c>
      <c r="Q2146" s="1" t="str">
        <f t="shared" si="635"/>
        <v>A</v>
      </c>
    </row>
    <row r="2147" spans="1:17" x14ac:dyDescent="0.3">
      <c r="A2147" s="1" t="str">
        <f t="shared" si="627"/>
        <v>ZC</v>
      </c>
      <c r="B2147" s="1" t="str">
        <f>"GNBRUSG11"</f>
        <v>GNBRUSG11</v>
      </c>
      <c r="C2147" s="1" t="str">
        <f>"(유방초음파) 판정 유보 - 진료 권고"</f>
        <v>(유방초음파) 판정 유보 - 진료 권고</v>
      </c>
      <c r="D2147" s="1" t="str">
        <f>"유방초음파 검사 결과만으로는 정확한 평가가 불가능한 상태입니다. 정확한 진단을 위해 추가적인 임상 진찰 및 유방확대촬영술 등의 추가적인 검사가 필요할 수 있습니다. 유방클리닉에서 진료를 받으시기 바랍니다."</f>
        <v>유방초음파 검사 결과만으로는 정확한 평가가 불가능한 상태입니다. 정확한 진단을 위해 추가적인 임상 진찰 및 유방확대촬영술 등의 추가적인 검사가 필요할 수 있습니다. 유방클리닉에서 진료를 받으시기 바랍니다.</v>
      </c>
      <c r="E2147" s="1" t="str">
        <f t="shared" si="632"/>
        <v>WOK02</v>
      </c>
      <c r="F2147" s="1" t="str">
        <f>"PTM01"</f>
        <v>PTM01</v>
      </c>
      <c r="G2147" s="1" t="str">
        <f>""</f>
        <v/>
      </c>
      <c r="H2147" s="1" t="str">
        <f t="shared" si="633"/>
        <v>REL11</v>
      </c>
      <c r="I2147" s="1" t="str">
        <f>""</f>
        <v/>
      </c>
      <c r="J2147" s="1" t="str">
        <f>""</f>
        <v/>
      </c>
      <c r="K2147" s="1" t="str">
        <f>""</f>
        <v/>
      </c>
      <c r="L2147" s="1" t="str">
        <f t="shared" si="628"/>
        <v>R</v>
      </c>
      <c r="M2147" s="1" t="str">
        <f t="shared" si="634"/>
        <v>T21</v>
      </c>
      <c r="N2147" s="1" t="str">
        <f t="shared" si="629"/>
        <v>Y</v>
      </c>
      <c r="O2147" s="1" t="str">
        <f t="shared" si="631"/>
        <v>Y</v>
      </c>
      <c r="P2147" s="1" t="str">
        <f t="shared" si="630"/>
        <v>Y</v>
      </c>
      <c r="Q2147" s="1" t="str">
        <f t="shared" si="635"/>
        <v>A</v>
      </c>
    </row>
    <row r="2148" spans="1:17" x14ac:dyDescent="0.3">
      <c r="A2148" s="1" t="str">
        <f t="shared" si="627"/>
        <v>ZC</v>
      </c>
      <c r="B2148" s="1" t="str">
        <f>"GNBRUSG13"</f>
        <v>GNBRUSG13</v>
      </c>
      <c r="C2148" s="1" t="str">
        <f>"(유방초음파) 결절 - 진료권고"</f>
        <v>(유방초음파) 결절 - 진료권고</v>
      </c>
      <c r="D2148" s="1" t="str">
        <f>"유방초음파 검사 결과 유방 결절 소견 확인됩니다. 정확한 진단을 위해 임상 진찰 및 추가적인 검사가 필요할 수 있습니다. 유방클리닉에서 진료를 받으시기 바랍니다."</f>
        <v>유방초음파 검사 결과 유방 결절 소견 확인됩니다. 정확한 진단을 위해 임상 진찰 및 추가적인 검사가 필요할 수 있습니다. 유방클리닉에서 진료를 받으시기 바랍니다.</v>
      </c>
      <c r="E2148" s="1" t="str">
        <f t="shared" si="632"/>
        <v>WOK02</v>
      </c>
      <c r="F2148" s="1" t="str">
        <f>"PTM04"</f>
        <v>PTM04</v>
      </c>
      <c r="G2148" s="1" t="str">
        <f>""</f>
        <v/>
      </c>
      <c r="H2148" s="1" t="str">
        <f t="shared" si="633"/>
        <v>REL11</v>
      </c>
      <c r="I2148" s="1" t="str">
        <f>""</f>
        <v/>
      </c>
      <c r="J2148" s="1" t="str">
        <f>""</f>
        <v/>
      </c>
      <c r="K2148" s="1" t="str">
        <f>""</f>
        <v/>
      </c>
      <c r="L2148" s="1" t="str">
        <f t="shared" si="628"/>
        <v>R</v>
      </c>
      <c r="M2148" s="1" t="str">
        <f t="shared" si="634"/>
        <v>T21</v>
      </c>
      <c r="N2148" s="1" t="str">
        <f t="shared" si="629"/>
        <v>Y</v>
      </c>
      <c r="O2148" s="1" t="str">
        <f t="shared" si="631"/>
        <v>Y</v>
      </c>
      <c r="P2148" s="1" t="str">
        <f t="shared" si="630"/>
        <v>Y</v>
      </c>
      <c r="Q2148" s="1" t="str">
        <f t="shared" si="635"/>
        <v>A</v>
      </c>
    </row>
    <row r="2149" spans="1:17" x14ac:dyDescent="0.3">
      <c r="A2149" s="1" t="str">
        <f t="shared" si="627"/>
        <v>ZC</v>
      </c>
      <c r="B2149" s="1" t="str">
        <f>"GNBRUSG15"</f>
        <v>GNBRUSG15</v>
      </c>
      <c r="C2149" s="1" t="str">
        <f>"(유방초음파) 유방 결절(b)"</f>
        <v>(유방초음파) 유방 결절(b)</v>
      </c>
      <c r="D2149" s="1" t="s">
        <v>620</v>
      </c>
      <c r="E2149" s="1" t="str">
        <f t="shared" si="632"/>
        <v>WOK02</v>
      </c>
      <c r="F2149" s="1" t="str">
        <f>"PTM033"</f>
        <v>PTM033</v>
      </c>
      <c r="G2149" s="1" t="str">
        <f>""</f>
        <v/>
      </c>
      <c r="H2149" s="1" t="str">
        <f t="shared" si="633"/>
        <v>REL11</v>
      </c>
      <c r="I2149" s="1" t="str">
        <f>""</f>
        <v/>
      </c>
      <c r="J2149" s="1" t="str">
        <f>""</f>
        <v/>
      </c>
      <c r="K2149" s="1" t="str">
        <f>""</f>
        <v/>
      </c>
      <c r="L2149" s="1" t="str">
        <f t="shared" si="628"/>
        <v>R</v>
      </c>
      <c r="M2149" s="1" t="str">
        <f t="shared" si="634"/>
        <v>T21</v>
      </c>
      <c r="N2149" s="1" t="str">
        <f t="shared" si="629"/>
        <v>Y</v>
      </c>
      <c r="O2149" s="1" t="str">
        <f t="shared" si="631"/>
        <v>Y</v>
      </c>
      <c r="P2149" s="1" t="str">
        <f t="shared" si="630"/>
        <v>Y</v>
      </c>
      <c r="Q2149" s="1" t="str">
        <f t="shared" si="635"/>
        <v>A</v>
      </c>
    </row>
    <row r="2150" spans="1:17" x14ac:dyDescent="0.3">
      <c r="A2150" s="1" t="str">
        <f t="shared" si="627"/>
        <v>ZC</v>
      </c>
      <c r="B2150" s="1" t="str">
        <f>"GNDM972"</f>
        <v>GNDM972</v>
      </c>
      <c r="C2150" s="1" t="str">
        <f>"당화혈색소 증가"</f>
        <v>당화혈색소 증가</v>
      </c>
      <c r="D2150" s="1" t="s">
        <v>621</v>
      </c>
      <c r="E2150" s="1" t="str">
        <f>""</f>
        <v/>
      </c>
      <c r="F2150" s="1" t="str">
        <f>""</f>
        <v/>
      </c>
      <c r="G2150" s="1" t="str">
        <f>""</f>
        <v/>
      </c>
      <c r="H2150" s="1" t="str">
        <f>"REL07"</f>
        <v>REL07</v>
      </c>
      <c r="I2150" s="1" t="str">
        <f>""</f>
        <v/>
      </c>
      <c r="J2150" s="1" t="str">
        <f>""</f>
        <v/>
      </c>
      <c r="K2150" s="1" t="str">
        <f>""</f>
        <v/>
      </c>
      <c r="L2150" s="1" t="str">
        <f t="shared" si="628"/>
        <v>R</v>
      </c>
      <c r="M2150" s="1" t="str">
        <f>"T211"</f>
        <v>T211</v>
      </c>
      <c r="N2150" s="1" t="str">
        <f t="shared" si="629"/>
        <v>Y</v>
      </c>
      <c r="O2150" s="1" t="str">
        <f t="shared" si="631"/>
        <v>Y</v>
      </c>
      <c r="P2150" s="1" t="str">
        <f t="shared" si="630"/>
        <v>Y</v>
      </c>
      <c r="Q2150" s="1" t="str">
        <f t="shared" si="635"/>
        <v>A</v>
      </c>
    </row>
    <row r="2151" spans="1:17" x14ac:dyDescent="0.3">
      <c r="A2151" s="1" t="str">
        <f t="shared" si="627"/>
        <v>ZC</v>
      </c>
      <c r="B2151" s="1" t="str">
        <f>"GNECHO02"</f>
        <v>GNECHO02</v>
      </c>
      <c r="C2151" s="1" t="str">
        <f>"▶ 비정상"</f>
        <v>▶ 비정상</v>
      </c>
      <c r="D2151" s="1" t="str">
        <f>"▶ 심장초음파 검사 결과…"</f>
        <v>▶ 심장초음파 검사 결과…</v>
      </c>
      <c r="E2151" s="1" t="str">
        <f>"WOK02"</f>
        <v>WOK02</v>
      </c>
      <c r="F2151" s="1" t="str">
        <f>"PTM04"</f>
        <v>PTM04</v>
      </c>
      <c r="G2151" s="1" t="str">
        <f>""</f>
        <v/>
      </c>
      <c r="H2151" s="1" t="str">
        <f t="shared" ref="H2151:H2167" si="636">"REL06"</f>
        <v>REL06</v>
      </c>
      <c r="I2151" s="1" t="str">
        <f t="shared" ref="I2151:I2167" si="637">"P0601"</f>
        <v>P0601</v>
      </c>
      <c r="J2151" s="1" t="str">
        <f>""</f>
        <v/>
      </c>
      <c r="K2151" s="1" t="str">
        <f>""</f>
        <v/>
      </c>
      <c r="L2151" s="1" t="str">
        <f t="shared" si="628"/>
        <v>R</v>
      </c>
      <c r="M2151" s="1" t="str">
        <f t="shared" ref="M2151:M2167" si="638">"T031"</f>
        <v>T031</v>
      </c>
      <c r="N2151" s="1" t="str">
        <f t="shared" si="629"/>
        <v>Y</v>
      </c>
      <c r="O2151" s="1" t="str">
        <f t="shared" si="631"/>
        <v>Y</v>
      </c>
      <c r="P2151" s="1" t="str">
        <f t="shared" si="630"/>
        <v>Y</v>
      </c>
      <c r="Q2151" s="1" t="str">
        <f t="shared" si="635"/>
        <v>A</v>
      </c>
    </row>
    <row r="2152" spans="1:17" x14ac:dyDescent="0.3">
      <c r="A2152" s="1" t="str">
        <f t="shared" si="627"/>
        <v>ZC</v>
      </c>
      <c r="B2152" s="1" t="str">
        <f>"GNECHO03"</f>
        <v>GNECHO03</v>
      </c>
      <c r="C2152" s="1" t="str">
        <f>"▶ 좌심방 비대"</f>
        <v>▶ 좌심방 비대</v>
      </c>
      <c r="D2152" s="1" t="s">
        <v>622</v>
      </c>
      <c r="E2152" s="1" t="str">
        <f>"WOK02"</f>
        <v>WOK02</v>
      </c>
      <c r="F2152" s="1" t="str">
        <f>"PTM04"</f>
        <v>PTM04</v>
      </c>
      <c r="G2152" s="1" t="str">
        <f>""</f>
        <v/>
      </c>
      <c r="H2152" s="1" t="str">
        <f t="shared" si="636"/>
        <v>REL06</v>
      </c>
      <c r="I2152" s="1" t="str">
        <f t="shared" si="637"/>
        <v>P0601</v>
      </c>
      <c r="J2152" s="1" t="str">
        <f>""</f>
        <v/>
      </c>
      <c r="K2152" s="1" t="str">
        <f>""</f>
        <v/>
      </c>
      <c r="L2152" s="1" t="str">
        <f t="shared" si="628"/>
        <v>R</v>
      </c>
      <c r="M2152" s="1" t="str">
        <f t="shared" si="638"/>
        <v>T031</v>
      </c>
      <c r="N2152" s="1" t="str">
        <f t="shared" si="629"/>
        <v>Y</v>
      </c>
      <c r="O2152" s="1" t="str">
        <f t="shared" si="631"/>
        <v>Y</v>
      </c>
      <c r="P2152" s="1" t="str">
        <f t="shared" si="630"/>
        <v>Y</v>
      </c>
      <c r="Q2152" s="1" t="str">
        <f t="shared" si="635"/>
        <v>A</v>
      </c>
    </row>
    <row r="2153" spans="1:17" x14ac:dyDescent="0.3">
      <c r="A2153" s="1" t="str">
        <f t="shared" si="627"/>
        <v>ZC</v>
      </c>
      <c r="B2153" s="1" t="str">
        <f>"GNECHO04"</f>
        <v>GNECHO04</v>
      </c>
      <c r="C2153" s="1" t="str">
        <f>"▶ 기저 심실중격비후"</f>
        <v>▶ 기저 심실중격비후</v>
      </c>
      <c r="D2153" s="1" t="s">
        <v>623</v>
      </c>
      <c r="E2153" s="1" t="str">
        <f>"WOK01"</f>
        <v>WOK01</v>
      </c>
      <c r="F2153" s="1" t="str">
        <f>"PTM01"</f>
        <v>PTM01</v>
      </c>
      <c r="G2153" s="1" t="str">
        <f>""</f>
        <v/>
      </c>
      <c r="H2153" s="1" t="str">
        <f t="shared" si="636"/>
        <v>REL06</v>
      </c>
      <c r="I2153" s="1" t="str">
        <f t="shared" si="637"/>
        <v>P0601</v>
      </c>
      <c r="J2153" s="1" t="str">
        <f>""</f>
        <v/>
      </c>
      <c r="K2153" s="1" t="str">
        <f>""</f>
        <v/>
      </c>
      <c r="L2153" s="1" t="str">
        <f t="shared" si="628"/>
        <v>R</v>
      </c>
      <c r="M2153" s="1" t="str">
        <f t="shared" si="638"/>
        <v>T031</v>
      </c>
      <c r="N2153" s="1" t="str">
        <f t="shared" si="629"/>
        <v>Y</v>
      </c>
      <c r="O2153" s="1" t="str">
        <f t="shared" si="631"/>
        <v>Y</v>
      </c>
      <c r="P2153" s="1" t="str">
        <f t="shared" si="630"/>
        <v>Y</v>
      </c>
      <c r="Q2153" s="1" t="str">
        <f t="shared" si="635"/>
        <v>A</v>
      </c>
    </row>
    <row r="2154" spans="1:17" x14ac:dyDescent="0.3">
      <c r="A2154" s="1" t="str">
        <f t="shared" si="627"/>
        <v>ZC</v>
      </c>
      <c r="B2154" s="1" t="str">
        <f>"GNECHO05"</f>
        <v>GNECHO05</v>
      </c>
      <c r="C2154" s="1" t="str">
        <f>"▶ 대동맥 확장"</f>
        <v>▶ 대동맥 확장</v>
      </c>
      <c r="D2154" s="1" t="str">
        <f>"▶ 심초음파 검사에서 대동맥 확장 소견이 관찰됩니다. 추가 상담 및 치료가 필요할 수 있으니 심장내과 진료를 받으십시오."</f>
        <v>▶ 심초음파 검사에서 대동맥 확장 소견이 관찰됩니다. 추가 상담 및 치료가 필요할 수 있으니 심장내과 진료를 받으십시오.</v>
      </c>
      <c r="E2154" s="1" t="str">
        <f t="shared" ref="E2154:E2168" si="639">"WOK02"</f>
        <v>WOK02</v>
      </c>
      <c r="F2154" s="1" t="str">
        <f t="shared" ref="F2154:F2167" si="640">"PTM04"</f>
        <v>PTM04</v>
      </c>
      <c r="G2154" s="1" t="str">
        <f>""</f>
        <v/>
      </c>
      <c r="H2154" s="1" t="str">
        <f t="shared" si="636"/>
        <v>REL06</v>
      </c>
      <c r="I2154" s="1" t="str">
        <f t="shared" si="637"/>
        <v>P0601</v>
      </c>
      <c r="J2154" s="1" t="str">
        <f>""</f>
        <v/>
      </c>
      <c r="K2154" s="1" t="str">
        <f>""</f>
        <v/>
      </c>
      <c r="L2154" s="1" t="str">
        <f t="shared" si="628"/>
        <v>R</v>
      </c>
      <c r="M2154" s="1" t="str">
        <f t="shared" si="638"/>
        <v>T031</v>
      </c>
      <c r="N2154" s="1" t="str">
        <f t="shared" si="629"/>
        <v>Y</v>
      </c>
      <c r="O2154" s="1" t="str">
        <f t="shared" si="631"/>
        <v>Y</v>
      </c>
      <c r="P2154" s="1" t="str">
        <f t="shared" si="630"/>
        <v>Y</v>
      </c>
      <c r="Q2154" s="1" t="str">
        <f t="shared" si="635"/>
        <v>A</v>
      </c>
    </row>
    <row r="2155" spans="1:17" x14ac:dyDescent="0.3">
      <c r="A2155" s="1" t="str">
        <f t="shared" si="627"/>
        <v>ZC</v>
      </c>
      <c r="B2155" s="1" t="str">
        <f>"GNECHO06"</f>
        <v>GNECHO06</v>
      </c>
      <c r="C2155" s="1" t="str">
        <f>"▶ 대동맥 확장 (경도)"</f>
        <v>▶ 대동맥 확장 (경도)</v>
      </c>
      <c r="D2155" s="1" t="s">
        <v>624</v>
      </c>
      <c r="E2155" s="1" t="str">
        <f t="shared" si="639"/>
        <v>WOK02</v>
      </c>
      <c r="F2155" s="1" t="str">
        <f t="shared" si="640"/>
        <v>PTM04</v>
      </c>
      <c r="G2155" s="1" t="str">
        <f>""</f>
        <v/>
      </c>
      <c r="H2155" s="1" t="str">
        <f t="shared" si="636"/>
        <v>REL06</v>
      </c>
      <c r="I2155" s="1" t="str">
        <f t="shared" si="637"/>
        <v>P0601</v>
      </c>
      <c r="J2155" s="1" t="str">
        <f>""</f>
        <v/>
      </c>
      <c r="K2155" s="1" t="str">
        <f>""</f>
        <v/>
      </c>
      <c r="L2155" s="1" t="str">
        <f t="shared" si="628"/>
        <v>R</v>
      </c>
      <c r="M2155" s="1" t="str">
        <f t="shared" si="638"/>
        <v>T031</v>
      </c>
      <c r="N2155" s="1" t="str">
        <f t="shared" si="629"/>
        <v>Y</v>
      </c>
      <c r="O2155" s="1" t="str">
        <f t="shared" si="631"/>
        <v>Y</v>
      </c>
      <c r="P2155" s="1" t="str">
        <f t="shared" si="630"/>
        <v>Y</v>
      </c>
      <c r="Q2155" s="1" t="str">
        <f t="shared" si="635"/>
        <v>A</v>
      </c>
    </row>
    <row r="2156" spans="1:17" x14ac:dyDescent="0.3">
      <c r="A2156" s="1" t="str">
        <f t="shared" si="627"/>
        <v>ZC</v>
      </c>
      <c r="B2156" s="1" t="str">
        <f>"GNECHO07"</f>
        <v>GNECHO07</v>
      </c>
      <c r="C2156" s="1" t="str">
        <f>"▶ 대동맥판막 역류 (경도)"</f>
        <v>▶ 대동맥판막 역류 (경도)</v>
      </c>
      <c r="D2156" s="1" t="s">
        <v>625</v>
      </c>
      <c r="E2156" s="1" t="str">
        <f t="shared" si="639"/>
        <v>WOK02</v>
      </c>
      <c r="F2156" s="1" t="str">
        <f t="shared" si="640"/>
        <v>PTM04</v>
      </c>
      <c r="G2156" s="1" t="str">
        <f>""</f>
        <v/>
      </c>
      <c r="H2156" s="1" t="str">
        <f t="shared" si="636"/>
        <v>REL06</v>
      </c>
      <c r="I2156" s="1" t="str">
        <f t="shared" si="637"/>
        <v>P0601</v>
      </c>
      <c r="J2156" s="1" t="str">
        <f>""</f>
        <v/>
      </c>
      <c r="K2156" s="1" t="str">
        <f>""</f>
        <v/>
      </c>
      <c r="L2156" s="1" t="str">
        <f t="shared" si="628"/>
        <v>R</v>
      </c>
      <c r="M2156" s="1" t="str">
        <f t="shared" si="638"/>
        <v>T031</v>
      </c>
      <c r="N2156" s="1" t="str">
        <f t="shared" si="629"/>
        <v>Y</v>
      </c>
      <c r="O2156" s="1" t="str">
        <f t="shared" si="631"/>
        <v>Y</v>
      </c>
      <c r="P2156" s="1" t="str">
        <f t="shared" si="630"/>
        <v>Y</v>
      </c>
      <c r="Q2156" s="1" t="str">
        <f t="shared" si="635"/>
        <v>A</v>
      </c>
    </row>
    <row r="2157" spans="1:17" x14ac:dyDescent="0.3">
      <c r="A2157" s="1" t="str">
        <f t="shared" si="627"/>
        <v>ZC</v>
      </c>
      <c r="B2157" s="1" t="str">
        <f>"GNECHO08"</f>
        <v>GNECHO08</v>
      </c>
      <c r="C2157" s="1" t="str">
        <f>"▶ 대동맥판막 역류 (중등도 이상)"</f>
        <v>▶ 대동맥판막 역류 (중등도 이상)</v>
      </c>
      <c r="D2157" s="1" t="s">
        <v>626</v>
      </c>
      <c r="E2157" s="1" t="str">
        <f t="shared" si="639"/>
        <v>WOK02</v>
      </c>
      <c r="F2157" s="1" t="str">
        <f t="shared" si="640"/>
        <v>PTM04</v>
      </c>
      <c r="G2157" s="1" t="str">
        <f>""</f>
        <v/>
      </c>
      <c r="H2157" s="1" t="str">
        <f t="shared" si="636"/>
        <v>REL06</v>
      </c>
      <c r="I2157" s="1" t="str">
        <f t="shared" si="637"/>
        <v>P0601</v>
      </c>
      <c r="J2157" s="1" t="str">
        <f>""</f>
        <v/>
      </c>
      <c r="K2157" s="1" t="str">
        <f>""</f>
        <v/>
      </c>
      <c r="L2157" s="1" t="str">
        <f t="shared" si="628"/>
        <v>R</v>
      </c>
      <c r="M2157" s="1" t="str">
        <f t="shared" si="638"/>
        <v>T031</v>
      </c>
      <c r="N2157" s="1" t="str">
        <f t="shared" si="629"/>
        <v>Y</v>
      </c>
      <c r="O2157" s="1" t="str">
        <f t="shared" si="631"/>
        <v>Y</v>
      </c>
      <c r="P2157" s="1" t="str">
        <f t="shared" si="630"/>
        <v>Y</v>
      </c>
      <c r="Q2157" s="1" t="str">
        <f t="shared" si="635"/>
        <v>A</v>
      </c>
    </row>
    <row r="2158" spans="1:17" x14ac:dyDescent="0.3">
      <c r="A2158" s="1" t="str">
        <f t="shared" si="627"/>
        <v>ZC</v>
      </c>
      <c r="B2158" s="1" t="str">
        <f>"GNECHO09"</f>
        <v>GNECHO09</v>
      </c>
      <c r="C2158" s="1" t="str">
        <f>"▶ 대동맥판막 협착 (경도)"</f>
        <v>▶ 대동맥판막 협착 (경도)</v>
      </c>
      <c r="D2158" s="1" t="s">
        <v>627</v>
      </c>
      <c r="E2158" s="1" t="str">
        <f t="shared" si="639"/>
        <v>WOK02</v>
      </c>
      <c r="F2158" s="1" t="str">
        <f t="shared" si="640"/>
        <v>PTM04</v>
      </c>
      <c r="G2158" s="1" t="str">
        <f>""</f>
        <v/>
      </c>
      <c r="H2158" s="1" t="str">
        <f t="shared" si="636"/>
        <v>REL06</v>
      </c>
      <c r="I2158" s="1" t="str">
        <f t="shared" si="637"/>
        <v>P0601</v>
      </c>
      <c r="J2158" s="1" t="str">
        <f>""</f>
        <v/>
      </c>
      <c r="K2158" s="1" t="str">
        <f>""</f>
        <v/>
      </c>
      <c r="L2158" s="1" t="str">
        <f t="shared" si="628"/>
        <v>R</v>
      </c>
      <c r="M2158" s="1" t="str">
        <f t="shared" si="638"/>
        <v>T031</v>
      </c>
      <c r="N2158" s="1" t="str">
        <f t="shared" si="629"/>
        <v>Y</v>
      </c>
      <c r="O2158" s="1" t="str">
        <f t="shared" si="631"/>
        <v>Y</v>
      </c>
      <c r="P2158" s="1" t="str">
        <f t="shared" si="630"/>
        <v>Y</v>
      </c>
      <c r="Q2158" s="1" t="str">
        <f t="shared" si="635"/>
        <v>A</v>
      </c>
    </row>
    <row r="2159" spans="1:17" x14ac:dyDescent="0.3">
      <c r="A2159" s="1" t="str">
        <f t="shared" si="627"/>
        <v>ZC</v>
      </c>
      <c r="B2159" s="1" t="str">
        <f>"GNECHO10"</f>
        <v>GNECHO10</v>
      </c>
      <c r="C2159" s="1" t="str">
        <f>"▶ 대동맥판막 협착 (중등도 이상)"</f>
        <v>▶ 대동맥판막 협착 (중등도 이상)</v>
      </c>
      <c r="D2159" s="1" t="s">
        <v>628</v>
      </c>
      <c r="E2159" s="1" t="str">
        <f t="shared" si="639"/>
        <v>WOK02</v>
      </c>
      <c r="F2159" s="1" t="str">
        <f t="shared" si="640"/>
        <v>PTM04</v>
      </c>
      <c r="G2159" s="1" t="str">
        <f>""</f>
        <v/>
      </c>
      <c r="H2159" s="1" t="str">
        <f t="shared" si="636"/>
        <v>REL06</v>
      </c>
      <c r="I2159" s="1" t="str">
        <f t="shared" si="637"/>
        <v>P0601</v>
      </c>
      <c r="J2159" s="1" t="str">
        <f>""</f>
        <v/>
      </c>
      <c r="K2159" s="1" t="str">
        <f>""</f>
        <v/>
      </c>
      <c r="L2159" s="1" t="str">
        <f t="shared" si="628"/>
        <v>R</v>
      </c>
      <c r="M2159" s="1" t="str">
        <f t="shared" si="638"/>
        <v>T031</v>
      </c>
      <c r="N2159" s="1" t="str">
        <f t="shared" si="629"/>
        <v>Y</v>
      </c>
      <c r="O2159" s="1" t="str">
        <f t="shared" si="631"/>
        <v>Y</v>
      </c>
      <c r="P2159" s="1" t="str">
        <f t="shared" si="630"/>
        <v>Y</v>
      </c>
      <c r="Q2159" s="1" t="str">
        <f t="shared" si="635"/>
        <v>A</v>
      </c>
    </row>
    <row r="2160" spans="1:17" x14ac:dyDescent="0.3">
      <c r="A2160" s="1" t="str">
        <f t="shared" si="627"/>
        <v>ZC</v>
      </c>
      <c r="B2160" s="1" t="str">
        <f>"GNECHO11"</f>
        <v>GNECHO11</v>
      </c>
      <c r="C2160" s="1" t="str">
        <f>"▶ 발살바동 확장"</f>
        <v>▶ 발살바동 확장</v>
      </c>
      <c r="D2160" s="1" t="s">
        <v>629</v>
      </c>
      <c r="E2160" s="1" t="str">
        <f t="shared" si="639"/>
        <v>WOK02</v>
      </c>
      <c r="F2160" s="1" t="str">
        <f t="shared" si="640"/>
        <v>PTM04</v>
      </c>
      <c r="G2160" s="1" t="str">
        <f>""</f>
        <v/>
      </c>
      <c r="H2160" s="1" t="str">
        <f t="shared" si="636"/>
        <v>REL06</v>
      </c>
      <c r="I2160" s="1" t="str">
        <f t="shared" si="637"/>
        <v>P0601</v>
      </c>
      <c r="J2160" s="1" t="str">
        <f>""</f>
        <v/>
      </c>
      <c r="K2160" s="1" t="str">
        <f>""</f>
        <v/>
      </c>
      <c r="L2160" s="1" t="str">
        <f t="shared" si="628"/>
        <v>R</v>
      </c>
      <c r="M2160" s="1" t="str">
        <f t="shared" si="638"/>
        <v>T031</v>
      </c>
      <c r="N2160" s="1" t="str">
        <f t="shared" si="629"/>
        <v>Y</v>
      </c>
      <c r="O2160" s="1" t="str">
        <f t="shared" si="631"/>
        <v>Y</v>
      </c>
      <c r="P2160" s="1" t="str">
        <f t="shared" si="630"/>
        <v>Y</v>
      </c>
      <c r="Q2160" s="1" t="str">
        <f t="shared" si="635"/>
        <v>A</v>
      </c>
    </row>
    <row r="2161" spans="1:17" x14ac:dyDescent="0.3">
      <c r="A2161" s="1" t="str">
        <f t="shared" si="627"/>
        <v>ZC</v>
      </c>
      <c r="B2161" s="1" t="str">
        <f>"GNECHO12"</f>
        <v>GNECHO12</v>
      </c>
      <c r="C2161" s="1" t="str">
        <f>"▶ 삼첨판 역류 (경도)"</f>
        <v>▶ 삼첨판 역류 (경도)</v>
      </c>
      <c r="D2161" s="1" t="str">
        <f>"▶ 심초음파 검사에서 경도의 삼첨판 역류가 관찰됩니다. 호흡곤란 등 특별한 증상이 없다면 경과관찰 하십시오."</f>
        <v>▶ 심초음파 검사에서 경도의 삼첨판 역류가 관찰됩니다. 호흡곤란 등 특별한 증상이 없다면 경과관찰 하십시오.</v>
      </c>
      <c r="E2161" s="1" t="str">
        <f t="shared" si="639"/>
        <v>WOK02</v>
      </c>
      <c r="F2161" s="1" t="str">
        <f t="shared" si="640"/>
        <v>PTM04</v>
      </c>
      <c r="G2161" s="1" t="str">
        <f>""</f>
        <v/>
      </c>
      <c r="H2161" s="1" t="str">
        <f t="shared" si="636"/>
        <v>REL06</v>
      </c>
      <c r="I2161" s="1" t="str">
        <f t="shared" si="637"/>
        <v>P0601</v>
      </c>
      <c r="J2161" s="1" t="str">
        <f>""</f>
        <v/>
      </c>
      <c r="K2161" s="1" t="str">
        <f>""</f>
        <v/>
      </c>
      <c r="L2161" s="1" t="str">
        <f t="shared" si="628"/>
        <v>R</v>
      </c>
      <c r="M2161" s="1" t="str">
        <f t="shared" si="638"/>
        <v>T031</v>
      </c>
      <c r="N2161" s="1" t="str">
        <f t="shared" si="629"/>
        <v>Y</v>
      </c>
      <c r="O2161" s="1" t="str">
        <f t="shared" si="631"/>
        <v>Y</v>
      </c>
      <c r="P2161" s="1" t="str">
        <f t="shared" si="630"/>
        <v>Y</v>
      </c>
      <c r="Q2161" s="1" t="str">
        <f t="shared" si="635"/>
        <v>A</v>
      </c>
    </row>
    <row r="2162" spans="1:17" x14ac:dyDescent="0.3">
      <c r="A2162" s="1" t="str">
        <f t="shared" si="627"/>
        <v>ZC</v>
      </c>
      <c r="B2162" s="1" t="str">
        <f>"GNECHO13"</f>
        <v>GNECHO13</v>
      </c>
      <c r="C2162" s="1" t="str">
        <f>"▶ 삼첨판 역류 (중등도 이상)"</f>
        <v>▶ 삼첨판 역류 (중등도 이상)</v>
      </c>
      <c r="D2162" s="1" t="str">
        <f>"▶ 심초음파 검사에서 삼첨판 역류가 관찰됩니다. 추가 상담을 위해 심장내과 진료를 받으십시오."</f>
        <v>▶ 심초음파 검사에서 삼첨판 역류가 관찰됩니다. 추가 상담을 위해 심장내과 진료를 받으십시오.</v>
      </c>
      <c r="E2162" s="1" t="str">
        <f t="shared" si="639"/>
        <v>WOK02</v>
      </c>
      <c r="F2162" s="1" t="str">
        <f t="shared" si="640"/>
        <v>PTM04</v>
      </c>
      <c r="G2162" s="1" t="str">
        <f>""</f>
        <v/>
      </c>
      <c r="H2162" s="1" t="str">
        <f t="shared" si="636"/>
        <v>REL06</v>
      </c>
      <c r="I2162" s="1" t="str">
        <f t="shared" si="637"/>
        <v>P0601</v>
      </c>
      <c r="J2162" s="1" t="str">
        <f>""</f>
        <v/>
      </c>
      <c r="K2162" s="1" t="str">
        <f>""</f>
        <v/>
      </c>
      <c r="L2162" s="1" t="str">
        <f t="shared" si="628"/>
        <v>R</v>
      </c>
      <c r="M2162" s="1" t="str">
        <f t="shared" si="638"/>
        <v>T031</v>
      </c>
      <c r="N2162" s="1" t="str">
        <f t="shared" si="629"/>
        <v>Y</v>
      </c>
      <c r="O2162" s="1" t="str">
        <f t="shared" si="631"/>
        <v>Y</v>
      </c>
      <c r="P2162" s="1" t="str">
        <f t="shared" si="630"/>
        <v>Y</v>
      </c>
      <c r="Q2162" s="1" t="str">
        <f t="shared" si="635"/>
        <v>A</v>
      </c>
    </row>
    <row r="2163" spans="1:17" x14ac:dyDescent="0.3">
      <c r="A2163" s="1" t="str">
        <f t="shared" si="627"/>
        <v>ZC</v>
      </c>
      <c r="B2163" s="1" t="str">
        <f>"GNECHO14"</f>
        <v>GNECHO14</v>
      </c>
      <c r="C2163" s="1" t="str">
        <f>"▶ 승모판막 역류 (경도)"</f>
        <v>▶ 승모판막 역류 (경도)</v>
      </c>
      <c r="D2163" s="1" t="s">
        <v>630</v>
      </c>
      <c r="E2163" s="1" t="str">
        <f t="shared" si="639"/>
        <v>WOK02</v>
      </c>
      <c r="F2163" s="1" t="str">
        <f t="shared" si="640"/>
        <v>PTM04</v>
      </c>
      <c r="G2163" s="1" t="str">
        <f>""</f>
        <v/>
      </c>
      <c r="H2163" s="1" t="str">
        <f t="shared" si="636"/>
        <v>REL06</v>
      </c>
      <c r="I2163" s="1" t="str">
        <f t="shared" si="637"/>
        <v>P0601</v>
      </c>
      <c r="J2163" s="1" t="str">
        <f>""</f>
        <v/>
      </c>
      <c r="K2163" s="1" t="str">
        <f>""</f>
        <v/>
      </c>
      <c r="L2163" s="1" t="str">
        <f t="shared" si="628"/>
        <v>R</v>
      </c>
      <c r="M2163" s="1" t="str">
        <f t="shared" si="638"/>
        <v>T031</v>
      </c>
      <c r="N2163" s="1" t="str">
        <f t="shared" si="629"/>
        <v>Y</v>
      </c>
      <c r="O2163" s="1" t="str">
        <f t="shared" si="631"/>
        <v>Y</v>
      </c>
      <c r="P2163" s="1" t="str">
        <f t="shared" si="630"/>
        <v>Y</v>
      </c>
      <c r="Q2163" s="1" t="str">
        <f t="shared" si="635"/>
        <v>A</v>
      </c>
    </row>
    <row r="2164" spans="1:17" x14ac:dyDescent="0.3">
      <c r="A2164" s="1" t="str">
        <f t="shared" si="627"/>
        <v>ZC</v>
      </c>
      <c r="B2164" s="1" t="str">
        <f>"GNECHO15"</f>
        <v>GNECHO15</v>
      </c>
      <c r="C2164" s="1" t="str">
        <f>"▶ 승모판막 역류 (중등도이상)"</f>
        <v>▶ 승모판막 역류 (중등도이상)</v>
      </c>
      <c r="D2164" s="1" t="str">
        <f>"▶ 심초음파 검사에서 승모판막 역류가 관찰됩니다. 추가 상담 및 치료가 필요할 수 있으니 심장내과 진료를 받으십시오."</f>
        <v>▶ 심초음파 검사에서 승모판막 역류가 관찰됩니다. 추가 상담 및 치료가 필요할 수 있으니 심장내과 진료를 받으십시오.</v>
      </c>
      <c r="E2164" s="1" t="str">
        <f t="shared" si="639"/>
        <v>WOK02</v>
      </c>
      <c r="F2164" s="1" t="str">
        <f t="shared" si="640"/>
        <v>PTM04</v>
      </c>
      <c r="G2164" s="1" t="str">
        <f>""</f>
        <v/>
      </c>
      <c r="H2164" s="1" t="str">
        <f t="shared" si="636"/>
        <v>REL06</v>
      </c>
      <c r="I2164" s="1" t="str">
        <f t="shared" si="637"/>
        <v>P0601</v>
      </c>
      <c r="J2164" s="1" t="str">
        <f>""</f>
        <v/>
      </c>
      <c r="K2164" s="1" t="str">
        <f>""</f>
        <v/>
      </c>
      <c r="L2164" s="1" t="str">
        <f t="shared" si="628"/>
        <v>R</v>
      </c>
      <c r="M2164" s="1" t="str">
        <f t="shared" si="638"/>
        <v>T031</v>
      </c>
      <c r="N2164" s="1" t="str">
        <f t="shared" si="629"/>
        <v>Y</v>
      </c>
      <c r="O2164" s="1" t="str">
        <f t="shared" si="631"/>
        <v>Y</v>
      </c>
      <c r="P2164" s="1" t="str">
        <f t="shared" si="630"/>
        <v>Y</v>
      </c>
      <c r="Q2164" s="1" t="str">
        <f t="shared" si="635"/>
        <v>A</v>
      </c>
    </row>
    <row r="2165" spans="1:17" x14ac:dyDescent="0.3">
      <c r="A2165" s="1" t="str">
        <f t="shared" si="627"/>
        <v>ZC</v>
      </c>
      <c r="B2165" s="1" t="str">
        <f>"GNECHO16"</f>
        <v>GNECHO16</v>
      </c>
      <c r="C2165" s="1" t="str">
        <f>"▶ 승모판막 협착"</f>
        <v>▶ 승모판막 협착</v>
      </c>
      <c r="D2165" s="1" t="str">
        <f>"▶ 심초음파 검사에서 승모판막 협착이 관찰됩니다. 추가 상담을 위해 심장내과 진료를 받으십시오."</f>
        <v>▶ 심초음파 검사에서 승모판막 협착이 관찰됩니다. 추가 상담을 위해 심장내과 진료를 받으십시오.</v>
      </c>
      <c r="E2165" s="1" t="str">
        <f t="shared" si="639"/>
        <v>WOK02</v>
      </c>
      <c r="F2165" s="1" t="str">
        <f t="shared" si="640"/>
        <v>PTM04</v>
      </c>
      <c r="G2165" s="1" t="str">
        <f>""</f>
        <v/>
      </c>
      <c r="H2165" s="1" t="str">
        <f t="shared" si="636"/>
        <v>REL06</v>
      </c>
      <c r="I2165" s="1" t="str">
        <f t="shared" si="637"/>
        <v>P0601</v>
      </c>
      <c r="J2165" s="1" t="str">
        <f>""</f>
        <v/>
      </c>
      <c r="K2165" s="1" t="str">
        <f>""</f>
        <v/>
      </c>
      <c r="L2165" s="1" t="str">
        <f t="shared" si="628"/>
        <v>R</v>
      </c>
      <c r="M2165" s="1" t="str">
        <f t="shared" si="638"/>
        <v>T031</v>
      </c>
      <c r="N2165" s="1" t="str">
        <f t="shared" si="629"/>
        <v>Y</v>
      </c>
      <c r="O2165" s="1" t="str">
        <f t="shared" si="631"/>
        <v>Y</v>
      </c>
      <c r="P2165" s="1" t="str">
        <f t="shared" si="630"/>
        <v>Y</v>
      </c>
      <c r="Q2165" s="1" t="str">
        <f t="shared" si="635"/>
        <v>A</v>
      </c>
    </row>
    <row r="2166" spans="1:17" x14ac:dyDescent="0.3">
      <c r="A2166" s="1" t="str">
        <f t="shared" si="627"/>
        <v>ZC</v>
      </c>
      <c r="B2166" s="1" t="str">
        <f>"GNECHO17"</f>
        <v>GNECHO17</v>
      </c>
      <c r="C2166" s="1" t="str">
        <f>"▶ 심실 이완기능 장애"</f>
        <v>▶ 심실 이완기능 장애</v>
      </c>
      <c r="D2166" s="1" t="s">
        <v>631</v>
      </c>
      <c r="E2166" s="1" t="str">
        <f t="shared" si="639"/>
        <v>WOK02</v>
      </c>
      <c r="F2166" s="1" t="str">
        <f t="shared" si="640"/>
        <v>PTM04</v>
      </c>
      <c r="G2166" s="1" t="str">
        <f>""</f>
        <v/>
      </c>
      <c r="H2166" s="1" t="str">
        <f t="shared" si="636"/>
        <v>REL06</v>
      </c>
      <c r="I2166" s="1" t="str">
        <f t="shared" si="637"/>
        <v>P0601</v>
      </c>
      <c r="J2166" s="1" t="str">
        <f>""</f>
        <v/>
      </c>
      <c r="K2166" s="1" t="str">
        <f>""</f>
        <v/>
      </c>
      <c r="L2166" s="1" t="str">
        <f t="shared" si="628"/>
        <v>R</v>
      </c>
      <c r="M2166" s="1" t="str">
        <f t="shared" si="638"/>
        <v>T031</v>
      </c>
      <c r="N2166" s="1" t="str">
        <f t="shared" si="629"/>
        <v>Y</v>
      </c>
      <c r="O2166" s="1" t="str">
        <f t="shared" si="631"/>
        <v>Y</v>
      </c>
      <c r="P2166" s="1" t="str">
        <f t="shared" si="630"/>
        <v>Y</v>
      </c>
      <c r="Q2166" s="1" t="str">
        <f t="shared" si="635"/>
        <v>A</v>
      </c>
    </row>
    <row r="2167" spans="1:17" x14ac:dyDescent="0.3">
      <c r="A2167" s="1" t="str">
        <f t="shared" si="627"/>
        <v>ZC</v>
      </c>
      <c r="B2167" s="1" t="str">
        <f>"GNECHO18"</f>
        <v>GNECHO18</v>
      </c>
      <c r="C2167" s="1" t="str">
        <f>"▶ 좌심방 확장"</f>
        <v>▶ 좌심방 확장</v>
      </c>
      <c r="D2167" s="1" t="s">
        <v>632</v>
      </c>
      <c r="E2167" s="1" t="str">
        <f t="shared" si="639"/>
        <v>WOK02</v>
      </c>
      <c r="F2167" s="1" t="str">
        <f t="shared" si="640"/>
        <v>PTM04</v>
      </c>
      <c r="G2167" s="1" t="str">
        <f>""</f>
        <v/>
      </c>
      <c r="H2167" s="1" t="str">
        <f t="shared" si="636"/>
        <v>REL06</v>
      </c>
      <c r="I2167" s="1" t="str">
        <f t="shared" si="637"/>
        <v>P0601</v>
      </c>
      <c r="J2167" s="1" t="str">
        <f>""</f>
        <v/>
      </c>
      <c r="K2167" s="1" t="str">
        <f>""</f>
        <v/>
      </c>
      <c r="L2167" s="1" t="str">
        <f t="shared" si="628"/>
        <v>R</v>
      </c>
      <c r="M2167" s="1" t="str">
        <f t="shared" si="638"/>
        <v>T031</v>
      </c>
      <c r="N2167" s="1" t="str">
        <f t="shared" si="629"/>
        <v>Y</v>
      </c>
      <c r="O2167" s="1" t="str">
        <f t="shared" si="631"/>
        <v>Y</v>
      </c>
      <c r="P2167" s="1" t="str">
        <f t="shared" si="630"/>
        <v>Y</v>
      </c>
      <c r="Q2167" s="1" t="str">
        <f t="shared" si="635"/>
        <v>A</v>
      </c>
    </row>
    <row r="2168" spans="1:17" x14ac:dyDescent="0.3">
      <c r="A2168" s="1" t="str">
        <f t="shared" ref="A2168:A2231" si="641">"ZC"</f>
        <v>ZC</v>
      </c>
      <c r="B2168" s="1" t="str">
        <f>"GYN301"</f>
        <v>GYN301</v>
      </c>
      <c r="C2168" s="1" t="str">
        <f>"자궁질도말세포병리검사상 염증소견"</f>
        <v>자궁질도말세포병리검사상 염증소견</v>
      </c>
      <c r="D2168" s="1" t="s">
        <v>633</v>
      </c>
      <c r="E2168" s="1" t="str">
        <f t="shared" si="639"/>
        <v>WOK02</v>
      </c>
      <c r="F2168" s="1" t="str">
        <f>"PTM03"</f>
        <v>PTM03</v>
      </c>
      <c r="G2168" s="1" t="str">
        <f>""</f>
        <v/>
      </c>
      <c r="H2168" s="1" t="str">
        <f>"REL11"</f>
        <v>REL11</v>
      </c>
      <c r="I2168" s="1" t="str">
        <f>""</f>
        <v/>
      </c>
      <c r="J2168" s="1" t="str">
        <f>""</f>
        <v/>
      </c>
      <c r="K2168" s="1" t="str">
        <f>""</f>
        <v/>
      </c>
      <c r="L2168" s="1" t="str">
        <f t="shared" ref="L2168:L2231" si="642">"R"</f>
        <v>R</v>
      </c>
      <c r="M2168" s="1" t="str">
        <f>"T07"</f>
        <v>T07</v>
      </c>
      <c r="N2168" s="1" t="str">
        <f t="shared" ref="N2168:N2231" si="643">"Y"</f>
        <v>Y</v>
      </c>
      <c r="O2168" s="1" t="str">
        <f t="shared" si="631"/>
        <v>Y</v>
      </c>
      <c r="P2168" s="1" t="str">
        <f t="shared" si="630"/>
        <v>Y</v>
      </c>
      <c r="Q2168" s="1" t="str">
        <f t="shared" si="635"/>
        <v>A</v>
      </c>
    </row>
    <row r="2169" spans="1:17" x14ac:dyDescent="0.3">
      <c r="A2169" s="1" t="str">
        <f t="shared" si="641"/>
        <v>ZC</v>
      </c>
      <c r="B2169" s="1" t="str">
        <f>"HEPLT40"</f>
        <v>HEPLT40</v>
      </c>
      <c r="C2169" s="1" t="str">
        <f>"B형 간염 항체 부족"</f>
        <v>B형 간염 항체 부족</v>
      </c>
      <c r="D2169" s="1" t="str">
        <f>"B형 간염 항체가 부족합니다. 예방접종 바랍니다."</f>
        <v>B형 간염 항체가 부족합니다. 예방접종 바랍니다.</v>
      </c>
      <c r="E2169" s="1" t="str">
        <f>"WOK01"</f>
        <v>WOK01</v>
      </c>
      <c r="F2169" s="1" t="str">
        <f>"PTM00"</f>
        <v>PTM00</v>
      </c>
      <c r="G2169" s="1" t="str">
        <f>"DISB"</f>
        <v>DISB</v>
      </c>
      <c r="H2169" s="1" t="str">
        <f>"REL05"</f>
        <v>REL05</v>
      </c>
      <c r="I2169" s="1" t="str">
        <f>""</f>
        <v/>
      </c>
      <c r="J2169" s="1" t="str">
        <f>"C05A"</f>
        <v>C05A</v>
      </c>
      <c r="K2169" s="1" t="str">
        <f>"C05A"</f>
        <v>C05A</v>
      </c>
      <c r="L2169" s="1" t="str">
        <f t="shared" si="642"/>
        <v>R</v>
      </c>
      <c r="M2169" s="1" t="str">
        <f>"T02"</f>
        <v>T02</v>
      </c>
      <c r="N2169" s="1" t="str">
        <f t="shared" si="643"/>
        <v>Y</v>
      </c>
      <c r="O2169" s="1" t="str">
        <f t="shared" si="631"/>
        <v>Y</v>
      </c>
      <c r="P2169" s="1" t="str">
        <f t="shared" si="630"/>
        <v>Y</v>
      </c>
      <c r="Q2169" s="1" t="str">
        <f t="shared" si="635"/>
        <v>A</v>
      </c>
    </row>
    <row r="2170" spans="1:17" x14ac:dyDescent="0.3">
      <c r="A2170" s="1" t="str">
        <f t="shared" si="641"/>
        <v>ZC</v>
      </c>
      <c r="B2170" s="1" t="str">
        <f>"J0076"</f>
        <v>J0076</v>
      </c>
      <c r="C2170" s="1" t="str">
        <f>"척추증"</f>
        <v>척추증</v>
      </c>
      <c r="D2170" s="1" t="str">
        <f>"퇴행성 소견으로 일반 작업 가능합니다. 요통 등 증상 발생시 정형외과 진료받으세요."</f>
        <v>퇴행성 소견으로 일반 작업 가능합니다. 요통 등 증상 발생시 정형외과 진료받으세요.</v>
      </c>
      <c r="E2170" s="1" t="str">
        <f>""</f>
        <v/>
      </c>
      <c r="F2170" s="1" t="str">
        <f>"PTM04"</f>
        <v>PTM04</v>
      </c>
      <c r="G2170" s="1" t="str">
        <f>"DISM"</f>
        <v>DISM</v>
      </c>
      <c r="H2170" s="1" t="str">
        <f>"REL22"</f>
        <v>REL22</v>
      </c>
      <c r="I2170" s="1" t="str">
        <f>""</f>
        <v/>
      </c>
      <c r="J2170" s="1" t="str">
        <f>"C43C"</f>
        <v>C43C</v>
      </c>
      <c r="K2170" s="1" t="str">
        <f>""</f>
        <v/>
      </c>
      <c r="L2170" s="1" t="str">
        <f t="shared" si="642"/>
        <v>R</v>
      </c>
      <c r="M2170" s="1" t="str">
        <f>""</f>
        <v/>
      </c>
      <c r="N2170" s="1" t="str">
        <f t="shared" si="643"/>
        <v>Y</v>
      </c>
      <c r="O2170" s="1" t="str">
        <f t="shared" si="631"/>
        <v>Y</v>
      </c>
      <c r="P2170" s="1" t="str">
        <f t="shared" si="630"/>
        <v>Y</v>
      </c>
      <c r="Q2170" s="1" t="str">
        <f t="shared" si="635"/>
        <v>A</v>
      </c>
    </row>
    <row r="2171" spans="1:17" x14ac:dyDescent="0.3">
      <c r="A2171" s="1" t="str">
        <f t="shared" si="641"/>
        <v>ZC</v>
      </c>
      <c r="B2171" s="1" t="str">
        <f>"J0242"</f>
        <v>J0242</v>
      </c>
      <c r="C2171" s="1" t="str">
        <f>"CA19-9 상승"</f>
        <v>CA19-9 상승</v>
      </c>
      <c r="D2171" s="1" t="s">
        <v>634</v>
      </c>
      <c r="E2171" s="1" t="str">
        <f>"WOK02"</f>
        <v>WOK02</v>
      </c>
      <c r="F2171" s="1" t="str">
        <f>""</f>
        <v/>
      </c>
      <c r="G2171" s="1" t="str">
        <f>""</f>
        <v/>
      </c>
      <c r="H2171" s="1" t="str">
        <f>""</f>
        <v/>
      </c>
      <c r="I2171" s="1" t="str">
        <f>""</f>
        <v/>
      </c>
      <c r="J2171" s="1" t="str">
        <f>""</f>
        <v/>
      </c>
      <c r="K2171" s="1" t="str">
        <f>""</f>
        <v/>
      </c>
      <c r="L2171" s="1" t="str">
        <f t="shared" si="642"/>
        <v>R</v>
      </c>
      <c r="M2171" s="1" t="str">
        <f>""</f>
        <v/>
      </c>
      <c r="N2171" s="1" t="str">
        <f t="shared" si="643"/>
        <v>Y</v>
      </c>
      <c r="O2171" s="1" t="str">
        <f t="shared" si="631"/>
        <v>Y</v>
      </c>
      <c r="P2171" s="1" t="str">
        <f t="shared" si="630"/>
        <v>Y</v>
      </c>
      <c r="Q2171" s="1" t="str">
        <f t="shared" si="635"/>
        <v>A</v>
      </c>
    </row>
    <row r="2172" spans="1:17" x14ac:dyDescent="0.3">
      <c r="A2172" s="1" t="str">
        <f t="shared" si="641"/>
        <v>ZC</v>
      </c>
      <c r="B2172" s="1" t="str">
        <f>"J0250"</f>
        <v>J0250</v>
      </c>
      <c r="C2172" s="1" t="str">
        <f>"저 알부민혈증"</f>
        <v>저 알부민혈증</v>
      </c>
      <c r="D2172" s="1" t="str">
        <f>"혈액내 알부민 치가 감소되어 있습니다. 만성 간질환 또는 영양 상태 불균형시 감소될 수 있으니 추적검사 받으시기 바랍니다."</f>
        <v>혈액내 알부민 치가 감소되어 있습니다. 만성 간질환 또는 영양 상태 불균형시 감소될 수 있으니 추적검사 받으시기 바랍니다.</v>
      </c>
      <c r="E2172" s="1" t="str">
        <f>""</f>
        <v/>
      </c>
      <c r="F2172" s="1" t="str">
        <f>""</f>
        <v/>
      </c>
      <c r="G2172" s="1" t="str">
        <f>""</f>
        <v/>
      </c>
      <c r="H2172" s="1" t="str">
        <f>""</f>
        <v/>
      </c>
      <c r="I2172" s="1" t="str">
        <f>""</f>
        <v/>
      </c>
      <c r="J2172" s="1" t="str">
        <f>""</f>
        <v/>
      </c>
      <c r="K2172" s="1" t="str">
        <f>""</f>
        <v/>
      </c>
      <c r="L2172" s="1" t="str">
        <f t="shared" si="642"/>
        <v>R</v>
      </c>
      <c r="M2172" s="1" t="str">
        <f>""</f>
        <v/>
      </c>
      <c r="N2172" s="1" t="str">
        <f t="shared" si="643"/>
        <v>Y</v>
      </c>
      <c r="O2172" s="1" t="str">
        <f t="shared" si="631"/>
        <v>Y</v>
      </c>
      <c r="P2172" s="1" t="str">
        <f t="shared" si="630"/>
        <v>Y</v>
      </c>
      <c r="Q2172" s="1" t="str">
        <f t="shared" si="635"/>
        <v>A</v>
      </c>
    </row>
    <row r="2173" spans="1:17" x14ac:dyDescent="0.3">
      <c r="A2173" s="1" t="str">
        <f t="shared" si="641"/>
        <v>ZC</v>
      </c>
      <c r="B2173" s="1" t="str">
        <f>"J0252"</f>
        <v>J0252</v>
      </c>
      <c r="C2173" s="1" t="str">
        <f>"알부민 수치 상승"</f>
        <v>알부민 수치 상승</v>
      </c>
      <c r="D2173" s="1" t="str">
        <f>"혈액내 알부민 수치가 상승되어 있으므로 추적검사 받으시기 바랍니다."</f>
        <v>혈액내 알부민 수치가 상승되어 있으므로 추적검사 받으시기 바랍니다.</v>
      </c>
      <c r="E2173" s="1" t="str">
        <f>""</f>
        <v/>
      </c>
      <c r="F2173" s="1" t="str">
        <f>""</f>
        <v/>
      </c>
      <c r="G2173" s="1" t="str">
        <f>""</f>
        <v/>
      </c>
      <c r="H2173" s="1" t="str">
        <f>""</f>
        <v/>
      </c>
      <c r="I2173" s="1" t="str">
        <f>""</f>
        <v/>
      </c>
      <c r="J2173" s="1" t="str">
        <f>""</f>
        <v/>
      </c>
      <c r="K2173" s="1" t="str">
        <f>""</f>
        <v/>
      </c>
      <c r="L2173" s="1" t="str">
        <f t="shared" si="642"/>
        <v>R</v>
      </c>
      <c r="M2173" s="1" t="str">
        <f>""</f>
        <v/>
      </c>
      <c r="N2173" s="1" t="str">
        <f t="shared" si="643"/>
        <v>Y</v>
      </c>
      <c r="O2173" s="1" t="str">
        <f t="shared" si="631"/>
        <v>Y</v>
      </c>
      <c r="P2173" s="1" t="str">
        <f t="shared" si="630"/>
        <v>Y</v>
      </c>
      <c r="Q2173" s="1" t="str">
        <f t="shared" si="635"/>
        <v>A</v>
      </c>
    </row>
    <row r="2174" spans="1:17" x14ac:dyDescent="0.3">
      <c r="A2174" s="1" t="str">
        <f t="shared" si="641"/>
        <v>ZC</v>
      </c>
      <c r="B2174" s="1" t="str">
        <f>"J0253"</f>
        <v>J0253</v>
      </c>
      <c r="C2174" s="1" t="str">
        <f>"혈중 단백 이상"</f>
        <v>혈중 단백 이상</v>
      </c>
      <c r="D2174" s="1" t="str">
        <f>"총 단백수치는 간질환  신장질환 등 여러 원인에 의해 변화할 수 있습니다. 동반 증상 있을시 진료 받으시고  증상 없을시 추적검사 받으시기 바랍니다."</f>
        <v>총 단백수치는 간질환  신장질환 등 여러 원인에 의해 변화할 수 있습니다. 동반 증상 있을시 진료 받으시고  증상 없을시 추적검사 받으시기 바랍니다.</v>
      </c>
      <c r="E2174" s="1" t="str">
        <f>""</f>
        <v/>
      </c>
      <c r="F2174" s="1" t="str">
        <f>""</f>
        <v/>
      </c>
      <c r="G2174" s="1" t="str">
        <f>""</f>
        <v/>
      </c>
      <c r="H2174" s="1" t="str">
        <f>""</f>
        <v/>
      </c>
      <c r="I2174" s="1" t="str">
        <f>""</f>
        <v/>
      </c>
      <c r="J2174" s="1" t="str">
        <f>""</f>
        <v/>
      </c>
      <c r="K2174" s="1" t="str">
        <f>""</f>
        <v/>
      </c>
      <c r="L2174" s="1" t="str">
        <f t="shared" si="642"/>
        <v>R</v>
      </c>
      <c r="M2174" s="1" t="str">
        <f>""</f>
        <v/>
      </c>
      <c r="N2174" s="1" t="str">
        <f t="shared" si="643"/>
        <v>Y</v>
      </c>
      <c r="O2174" s="1" t="str">
        <f t="shared" si="631"/>
        <v>Y</v>
      </c>
      <c r="P2174" s="1" t="str">
        <f t="shared" si="630"/>
        <v>Y</v>
      </c>
      <c r="Q2174" s="1" t="str">
        <f t="shared" si="635"/>
        <v>A</v>
      </c>
    </row>
    <row r="2175" spans="1:17" x14ac:dyDescent="0.3">
      <c r="A2175" s="1" t="str">
        <f t="shared" si="641"/>
        <v>ZC</v>
      </c>
      <c r="B2175" s="1" t="str">
        <f>"J0254"</f>
        <v>J0254</v>
      </c>
      <c r="C2175" s="1" t="str">
        <f>"황달수치 이상(직접빌리루빈 상승)"</f>
        <v>황달수치 이상(직접빌리루빈 상승)</v>
      </c>
      <c r="D2175" s="1" t="str">
        <f>"간담도 질환의 경우 상승하나 공복시 일시적으로 상승할 수 있습니다. 동반 증상 있는 경우 내과진료 하시고  증상 없을시 추적검사 받으시기 바랍니다."</f>
        <v>간담도 질환의 경우 상승하나 공복시 일시적으로 상승할 수 있습니다. 동반 증상 있는 경우 내과진료 하시고  증상 없을시 추적검사 받으시기 바랍니다.</v>
      </c>
      <c r="E2175" s="1" t="str">
        <f>""</f>
        <v/>
      </c>
      <c r="F2175" s="1" t="str">
        <f>""</f>
        <v/>
      </c>
      <c r="G2175" s="1" t="str">
        <f>""</f>
        <v/>
      </c>
      <c r="H2175" s="1" t="str">
        <f>""</f>
        <v/>
      </c>
      <c r="I2175" s="1" t="str">
        <f>""</f>
        <v/>
      </c>
      <c r="J2175" s="1" t="str">
        <f>""</f>
        <v/>
      </c>
      <c r="K2175" s="1" t="str">
        <f>""</f>
        <v/>
      </c>
      <c r="L2175" s="1" t="str">
        <f t="shared" si="642"/>
        <v>R</v>
      </c>
      <c r="M2175" s="1" t="str">
        <f>""</f>
        <v/>
      </c>
      <c r="N2175" s="1" t="str">
        <f t="shared" si="643"/>
        <v>Y</v>
      </c>
      <c r="O2175" s="1" t="str">
        <f t="shared" si="631"/>
        <v>Y</v>
      </c>
      <c r="P2175" s="1" t="str">
        <f t="shared" si="630"/>
        <v>Y</v>
      </c>
      <c r="Q2175" s="1" t="str">
        <f t="shared" si="635"/>
        <v>A</v>
      </c>
    </row>
    <row r="2176" spans="1:17" x14ac:dyDescent="0.3">
      <c r="A2176" s="1" t="str">
        <f t="shared" si="641"/>
        <v>ZC</v>
      </c>
      <c r="B2176" s="1" t="str">
        <f>"J0255"</f>
        <v>J0255</v>
      </c>
      <c r="C2176" s="1" t="str">
        <f>"황달수치 이상(총빌리루빈 상승)"</f>
        <v>황달수치 이상(총빌리루빈 상승)</v>
      </c>
      <c r="D2176" s="1" t="str">
        <f>"간질환 또는 담도질환 등에서 증가할 수 있습니다. 정상인에서도 일시적으로 상승할 수 있습니다. 추적검사를 권합니다."</f>
        <v>간질환 또는 담도질환 등에서 증가할 수 있습니다. 정상인에서도 일시적으로 상승할 수 있습니다. 추적검사를 권합니다.</v>
      </c>
      <c r="E2176" s="1" t="str">
        <f>""</f>
        <v/>
      </c>
      <c r="F2176" s="1" t="str">
        <f>""</f>
        <v/>
      </c>
      <c r="G2176" s="1" t="str">
        <f>""</f>
        <v/>
      </c>
      <c r="H2176" s="1" t="str">
        <f>""</f>
        <v/>
      </c>
      <c r="I2176" s="1" t="str">
        <f>""</f>
        <v/>
      </c>
      <c r="J2176" s="1" t="str">
        <f>""</f>
        <v/>
      </c>
      <c r="K2176" s="1" t="str">
        <f>""</f>
        <v/>
      </c>
      <c r="L2176" s="1" t="str">
        <f t="shared" si="642"/>
        <v>R</v>
      </c>
      <c r="M2176" s="1" t="str">
        <f>""</f>
        <v/>
      </c>
      <c r="N2176" s="1" t="str">
        <f t="shared" si="643"/>
        <v>Y</v>
      </c>
      <c r="O2176" s="1" t="str">
        <f t="shared" si="631"/>
        <v>Y</v>
      </c>
      <c r="P2176" s="1" t="str">
        <f t="shared" si="630"/>
        <v>Y</v>
      </c>
      <c r="Q2176" s="1" t="str">
        <f t="shared" si="635"/>
        <v>A</v>
      </c>
    </row>
    <row r="2177" spans="1:17" x14ac:dyDescent="0.3">
      <c r="A2177" s="1" t="str">
        <f t="shared" si="641"/>
        <v>ZC</v>
      </c>
      <c r="B2177" s="1" t="str">
        <f>"J0256"</f>
        <v>J0256</v>
      </c>
      <c r="C2177" s="1" t="str">
        <f>"간장질환 주의(알카리포스파타제 상승)"</f>
        <v>간장질환 주의(알카리포스파타제 상승)</v>
      </c>
      <c r="D2177" s="1" t="str">
        <f>"ALP는 간담도 질환  골 질환 등에서 상승할 수 있으므로 동반 증상 있을시 내과진료 하시고  증상 없을시 추적검사 하시기 바랍니다."</f>
        <v>ALP는 간담도 질환  골 질환 등에서 상승할 수 있으므로 동반 증상 있을시 내과진료 하시고  증상 없을시 추적검사 하시기 바랍니다.</v>
      </c>
      <c r="E2177" s="1" t="str">
        <f>""</f>
        <v/>
      </c>
      <c r="F2177" s="1" t="str">
        <f>""</f>
        <v/>
      </c>
      <c r="G2177" s="1" t="str">
        <f>""</f>
        <v/>
      </c>
      <c r="H2177" s="1" t="str">
        <f>""</f>
        <v/>
      </c>
      <c r="I2177" s="1" t="str">
        <f>""</f>
        <v/>
      </c>
      <c r="J2177" s="1" t="str">
        <f>""</f>
        <v/>
      </c>
      <c r="K2177" s="1" t="str">
        <f>""</f>
        <v/>
      </c>
      <c r="L2177" s="1" t="str">
        <f t="shared" si="642"/>
        <v>R</v>
      </c>
      <c r="M2177" s="1" t="str">
        <f>""</f>
        <v/>
      </c>
      <c r="N2177" s="1" t="str">
        <f t="shared" si="643"/>
        <v>Y</v>
      </c>
      <c r="O2177" s="1" t="str">
        <f t="shared" si="631"/>
        <v>Y</v>
      </c>
      <c r="P2177" s="1" t="str">
        <f t="shared" si="630"/>
        <v>Y</v>
      </c>
      <c r="Q2177" s="1" t="str">
        <f t="shared" si="635"/>
        <v>A</v>
      </c>
    </row>
    <row r="2178" spans="1:17" x14ac:dyDescent="0.3">
      <c r="A2178" s="1" t="str">
        <f t="shared" si="641"/>
        <v>ZC</v>
      </c>
      <c r="B2178" s="1" t="str">
        <f>"J0262"</f>
        <v>J0262</v>
      </c>
      <c r="C2178" s="1" t="str">
        <f>"혈중 요산 증가"</f>
        <v>혈중 요산 증가</v>
      </c>
      <c r="D2178" s="1" t="str">
        <f>"혈중 요산이 정상범위 이상입니다. 육류섭취 절제하시고 추적검사 하시기 바랍니다. (요산 증가시 통풍  관절염  요로결석 등의 위험이 높아집니다)"</f>
        <v>혈중 요산이 정상범위 이상입니다. 육류섭취 절제하시고 추적검사 하시기 바랍니다. (요산 증가시 통풍  관절염  요로결석 등의 위험이 높아집니다)</v>
      </c>
      <c r="E2178" s="1" t="str">
        <f>""</f>
        <v/>
      </c>
      <c r="F2178" s="1" t="str">
        <f>""</f>
        <v/>
      </c>
      <c r="G2178" s="1" t="str">
        <f>""</f>
        <v/>
      </c>
      <c r="H2178" s="1" t="str">
        <f>""</f>
        <v/>
      </c>
      <c r="I2178" s="1" t="str">
        <f>""</f>
        <v/>
      </c>
      <c r="J2178" s="1" t="str">
        <f>""</f>
        <v/>
      </c>
      <c r="K2178" s="1" t="str">
        <f>""</f>
        <v/>
      </c>
      <c r="L2178" s="1" t="str">
        <f t="shared" si="642"/>
        <v>R</v>
      </c>
      <c r="M2178" s="1" t="str">
        <f>""</f>
        <v/>
      </c>
      <c r="N2178" s="1" t="str">
        <f t="shared" si="643"/>
        <v>Y</v>
      </c>
      <c r="O2178" s="1" t="str">
        <f t="shared" si="631"/>
        <v>Y</v>
      </c>
      <c r="P2178" s="1" t="str">
        <f t="shared" si="630"/>
        <v>Y</v>
      </c>
      <c r="Q2178" s="1" t="str">
        <f t="shared" si="635"/>
        <v>A</v>
      </c>
    </row>
    <row r="2179" spans="1:17" x14ac:dyDescent="0.3">
      <c r="A2179" s="1" t="str">
        <f t="shared" si="641"/>
        <v>ZC</v>
      </c>
      <c r="B2179" s="1" t="str">
        <f>"J0264"</f>
        <v>J0264</v>
      </c>
      <c r="C2179" s="1" t="str">
        <f>"류마티스 인자 양성"</f>
        <v>류마티스 인자 양성</v>
      </c>
      <c r="D2179" s="1" t="str">
        <f>"관절염 관련 증상이 있는 경우  류마티스내과 진료 하시기 바랍니다.(류마티스 인자는 류마티스 관절염 등의 자가면역성 질환이나  간염·독감 등의 바이러스성 질환  일부 종양 등에서 양성으로 나올 수 있습니다.)"</f>
        <v>관절염 관련 증상이 있는 경우  류마티스내과 진료 하시기 바랍니다.(류마티스 인자는 류마티스 관절염 등의 자가면역성 질환이나  간염·독감 등의 바이러스성 질환  일부 종양 등에서 양성으로 나올 수 있습니다.)</v>
      </c>
      <c r="E2179" s="1" t="str">
        <f>""</f>
        <v/>
      </c>
      <c r="F2179" s="1" t="str">
        <f>""</f>
        <v/>
      </c>
      <c r="G2179" s="1" t="str">
        <f>""</f>
        <v/>
      </c>
      <c r="H2179" s="1" t="str">
        <f>""</f>
        <v/>
      </c>
      <c r="I2179" s="1" t="str">
        <f>""</f>
        <v/>
      </c>
      <c r="J2179" s="1" t="str">
        <f>""</f>
        <v/>
      </c>
      <c r="K2179" s="1" t="str">
        <f>""</f>
        <v/>
      </c>
      <c r="L2179" s="1" t="str">
        <f t="shared" si="642"/>
        <v>R</v>
      </c>
      <c r="M2179" s="1" t="str">
        <f>""</f>
        <v/>
      </c>
      <c r="N2179" s="1" t="str">
        <f t="shared" si="643"/>
        <v>Y</v>
      </c>
      <c r="O2179" s="1" t="str">
        <f t="shared" si="631"/>
        <v>Y</v>
      </c>
      <c r="P2179" s="1" t="str">
        <f t="shared" si="630"/>
        <v>Y</v>
      </c>
      <c r="Q2179" s="1" t="str">
        <f t="shared" si="635"/>
        <v>A</v>
      </c>
    </row>
    <row r="2180" spans="1:17" x14ac:dyDescent="0.3">
      <c r="A2180" s="1" t="str">
        <f t="shared" si="641"/>
        <v>ZC</v>
      </c>
      <c r="B2180" s="1" t="str">
        <f>"J0265"</f>
        <v>J0265</v>
      </c>
      <c r="C2180" s="1" t="str">
        <f>"갑상선자극호르몬 상승"</f>
        <v>갑상선자극호르몬 상승</v>
      </c>
      <c r="D2180" s="1" t="str">
        <f>"갑상선기능 저하증의 경우 상승하나 스트레스 등 일시적 요인으로도 상승가능하므로 갑상선 기능에 대한 추적검사 바랍니다."</f>
        <v>갑상선기능 저하증의 경우 상승하나 스트레스 등 일시적 요인으로도 상승가능하므로 갑상선 기능에 대한 추적검사 바랍니다.</v>
      </c>
      <c r="E2180" s="1" t="str">
        <f>""</f>
        <v/>
      </c>
      <c r="F2180" s="1" t="str">
        <f>""</f>
        <v/>
      </c>
      <c r="G2180" s="1" t="str">
        <f>""</f>
        <v/>
      </c>
      <c r="H2180" s="1" t="str">
        <f>""</f>
        <v/>
      </c>
      <c r="I2180" s="1" t="str">
        <f>""</f>
        <v/>
      </c>
      <c r="J2180" s="1" t="str">
        <f>""</f>
        <v/>
      </c>
      <c r="K2180" s="1" t="str">
        <f>""</f>
        <v/>
      </c>
      <c r="L2180" s="1" t="str">
        <f t="shared" si="642"/>
        <v>R</v>
      </c>
      <c r="M2180" s="1" t="str">
        <f>""</f>
        <v/>
      </c>
      <c r="N2180" s="1" t="str">
        <f t="shared" si="643"/>
        <v>Y</v>
      </c>
      <c r="O2180" s="1" t="str">
        <f t="shared" si="631"/>
        <v>Y</v>
      </c>
      <c r="P2180" s="1" t="str">
        <f t="shared" si="630"/>
        <v>Y</v>
      </c>
      <c r="Q2180" s="1" t="str">
        <f t="shared" si="635"/>
        <v>A</v>
      </c>
    </row>
    <row r="2181" spans="1:17" x14ac:dyDescent="0.3">
      <c r="A2181" s="1" t="str">
        <f t="shared" si="641"/>
        <v>ZC</v>
      </c>
      <c r="B2181" s="1" t="str">
        <f>"J0266"</f>
        <v>J0266</v>
      </c>
      <c r="C2181" s="1" t="str">
        <f>"갑상선자극호르몬 저하"</f>
        <v>갑상선자극호르몬 저하</v>
      </c>
      <c r="D2181" s="1" t="str">
        <f>"갑상선기능 항진증 가능성이 있습니다. 갑상선호르몬(T4)이 상승되어 있을 경우 내분비내과 진료 하시기 바랍니다."</f>
        <v>갑상선기능 항진증 가능성이 있습니다. 갑상선호르몬(T4)이 상승되어 있을 경우 내분비내과 진료 하시기 바랍니다.</v>
      </c>
      <c r="E2181" s="1" t="str">
        <f>"WOK02"</f>
        <v>WOK02</v>
      </c>
      <c r="F2181" s="1" t="str">
        <f>""</f>
        <v/>
      </c>
      <c r="G2181" s="1" t="str">
        <f>""</f>
        <v/>
      </c>
      <c r="H2181" s="1" t="str">
        <f>""</f>
        <v/>
      </c>
      <c r="I2181" s="1" t="str">
        <f>""</f>
        <v/>
      </c>
      <c r="J2181" s="1" t="str">
        <f>""</f>
        <v/>
      </c>
      <c r="K2181" s="1" t="str">
        <f>""</f>
        <v/>
      </c>
      <c r="L2181" s="1" t="str">
        <f t="shared" si="642"/>
        <v>R</v>
      </c>
      <c r="M2181" s="1" t="str">
        <f>""</f>
        <v/>
      </c>
      <c r="N2181" s="1" t="str">
        <f t="shared" si="643"/>
        <v>Y</v>
      </c>
      <c r="O2181" s="1" t="str">
        <f t="shared" si="631"/>
        <v>Y</v>
      </c>
      <c r="P2181" s="1" t="str">
        <f t="shared" si="630"/>
        <v>Y</v>
      </c>
      <c r="Q2181" s="1" t="str">
        <f t="shared" si="635"/>
        <v>A</v>
      </c>
    </row>
    <row r="2182" spans="1:17" x14ac:dyDescent="0.3">
      <c r="A2182" s="1" t="str">
        <f t="shared" si="641"/>
        <v>ZC</v>
      </c>
      <c r="B2182" s="1" t="str">
        <f>"J0267"</f>
        <v>J0267</v>
      </c>
      <c r="C2182" s="1" t="str">
        <f>"갑상선호르몬(T4) 상승"</f>
        <v>갑상선호르몬(T4) 상승</v>
      </c>
      <c r="D2182" s="1" t="str">
        <f>"갑상선기능 항진증 가능성이 있으므로 관련 증상(체중감소  심계항진 등) 있을 경우 내분비내과 진료 받으시기 바랍니다."</f>
        <v>갑상선기능 항진증 가능성이 있으므로 관련 증상(체중감소  심계항진 등) 있을 경우 내분비내과 진료 받으시기 바랍니다.</v>
      </c>
      <c r="E2182" s="1" t="str">
        <f>""</f>
        <v/>
      </c>
      <c r="F2182" s="1" t="str">
        <f>""</f>
        <v/>
      </c>
      <c r="G2182" s="1" t="str">
        <f>""</f>
        <v/>
      </c>
      <c r="H2182" s="1" t="str">
        <f>""</f>
        <v/>
      </c>
      <c r="I2182" s="1" t="str">
        <f>""</f>
        <v/>
      </c>
      <c r="J2182" s="1" t="str">
        <f>""</f>
        <v/>
      </c>
      <c r="K2182" s="1" t="str">
        <f>""</f>
        <v/>
      </c>
      <c r="L2182" s="1" t="str">
        <f t="shared" si="642"/>
        <v>R</v>
      </c>
      <c r="M2182" s="1" t="str">
        <f>""</f>
        <v/>
      </c>
      <c r="N2182" s="1" t="str">
        <f t="shared" si="643"/>
        <v>Y</v>
      </c>
      <c r="O2182" s="1" t="str">
        <f t="shared" si="631"/>
        <v>Y</v>
      </c>
      <c r="P2182" s="1" t="str">
        <f t="shared" si="630"/>
        <v>Y</v>
      </c>
      <c r="Q2182" s="1" t="str">
        <f t="shared" si="635"/>
        <v>A</v>
      </c>
    </row>
    <row r="2183" spans="1:17" x14ac:dyDescent="0.3">
      <c r="A2183" s="1" t="str">
        <f t="shared" si="641"/>
        <v>ZC</v>
      </c>
      <c r="B2183" s="1" t="str">
        <f>"J0268"</f>
        <v>J0268</v>
      </c>
      <c r="C2183" s="1" t="str">
        <f>"갑상선호르몬(T4) 감소"</f>
        <v>갑상선호르몬(T4) 감소</v>
      </c>
      <c r="D2183" s="1" t="str">
        <f>"갑상선호르몬이 정상범위보다 감소하였습니다. 갑상선자극호르몬이 동반 상승되어 있을 경우 갑상선기능저하증에 대한 정밀검사 받으시기 바랍니다."</f>
        <v>갑상선호르몬이 정상범위보다 감소하였습니다. 갑상선자극호르몬이 동반 상승되어 있을 경우 갑상선기능저하증에 대한 정밀검사 받으시기 바랍니다.</v>
      </c>
      <c r="E2183" s="1" t="str">
        <f>""</f>
        <v/>
      </c>
      <c r="F2183" s="1" t="str">
        <f>""</f>
        <v/>
      </c>
      <c r="G2183" s="1" t="str">
        <f>""</f>
        <v/>
      </c>
      <c r="H2183" s="1" t="str">
        <f>""</f>
        <v/>
      </c>
      <c r="I2183" s="1" t="str">
        <f>""</f>
        <v/>
      </c>
      <c r="J2183" s="1" t="str">
        <f>""</f>
        <v/>
      </c>
      <c r="K2183" s="1" t="str">
        <f>""</f>
        <v/>
      </c>
      <c r="L2183" s="1" t="str">
        <f t="shared" si="642"/>
        <v>R</v>
      </c>
      <c r="M2183" s="1" t="str">
        <f>""</f>
        <v/>
      </c>
      <c r="N2183" s="1" t="str">
        <f t="shared" si="643"/>
        <v>Y</v>
      </c>
      <c r="O2183" s="1" t="str">
        <f t="shared" si="631"/>
        <v>Y</v>
      </c>
      <c r="P2183" s="1" t="str">
        <f t="shared" si="630"/>
        <v>Y</v>
      </c>
      <c r="Q2183" s="1" t="str">
        <f t="shared" si="635"/>
        <v>A</v>
      </c>
    </row>
    <row r="2184" spans="1:17" x14ac:dyDescent="0.3">
      <c r="A2184" s="1" t="str">
        <f t="shared" si="641"/>
        <v>ZC</v>
      </c>
      <c r="B2184" s="1" t="str">
        <f>"J0276"</f>
        <v>J0276</v>
      </c>
      <c r="C2184" s="1" t="str">
        <f>"ESR(적혈구침강속도) 상승"</f>
        <v>ESR(적혈구침강속도) 상승</v>
      </c>
      <c r="D2184" s="1" t="s">
        <v>635</v>
      </c>
      <c r="E2184" s="1" t="str">
        <f>"WOK02"</f>
        <v>WOK02</v>
      </c>
      <c r="F2184" s="1" t="str">
        <f>""</f>
        <v/>
      </c>
      <c r="G2184" s="1" t="str">
        <f>"DISD"</f>
        <v>DISD</v>
      </c>
      <c r="H2184" s="1" t="str">
        <f>"REL12"</f>
        <v>REL12</v>
      </c>
      <c r="I2184" s="1" t="str">
        <f>""</f>
        <v/>
      </c>
      <c r="J2184" s="1" t="str">
        <f>""</f>
        <v/>
      </c>
      <c r="K2184" s="1" t="str">
        <f>""</f>
        <v/>
      </c>
      <c r="L2184" s="1" t="str">
        <f t="shared" si="642"/>
        <v>R</v>
      </c>
      <c r="M2184" s="1" t="str">
        <f>""</f>
        <v/>
      </c>
      <c r="N2184" s="1" t="str">
        <f t="shared" si="643"/>
        <v>Y</v>
      </c>
      <c r="O2184" s="1" t="str">
        <f t="shared" si="631"/>
        <v>Y</v>
      </c>
      <c r="P2184" s="1" t="str">
        <f t="shared" si="630"/>
        <v>Y</v>
      </c>
      <c r="Q2184" s="1" t="str">
        <f t="shared" si="635"/>
        <v>A</v>
      </c>
    </row>
    <row r="2185" spans="1:17" x14ac:dyDescent="0.3">
      <c r="A2185" s="1" t="str">
        <f t="shared" si="641"/>
        <v>ZC</v>
      </c>
      <c r="B2185" s="1" t="str">
        <f>"J0340"</f>
        <v>J0340</v>
      </c>
      <c r="C2185" s="1" t="str">
        <f>"대장용종(고도선종)"</f>
        <v>대장용종(고도선종)</v>
      </c>
      <c r="D2185" s="1" t="str">
        <f>"대장내시경 조직검사 결과는 고등급이형성증을 동반한 선종입니다. 병원 내원하여 소화기내과 상담을 요합니다."</f>
        <v>대장내시경 조직검사 결과는 고등급이형성증을 동반한 선종입니다. 병원 내원하여 소화기내과 상담을 요합니다.</v>
      </c>
      <c r="E2185" s="1" t="str">
        <f>"WOK02"</f>
        <v>WOK02</v>
      </c>
      <c r="F2185" s="1" t="str">
        <f>""</f>
        <v/>
      </c>
      <c r="G2185" s="1" t="str">
        <f>""</f>
        <v/>
      </c>
      <c r="H2185" s="1" t="str">
        <f t="shared" ref="H2185:H2203" si="644">"REL33"</f>
        <v>REL33</v>
      </c>
      <c r="I2185" s="1" t="str">
        <f>""</f>
        <v/>
      </c>
      <c r="J2185" s="1" t="str">
        <f>""</f>
        <v/>
      </c>
      <c r="K2185" s="1" t="str">
        <f>""</f>
        <v/>
      </c>
      <c r="L2185" s="1" t="str">
        <f t="shared" si="642"/>
        <v>R</v>
      </c>
      <c r="M2185" s="1" t="str">
        <f>""</f>
        <v/>
      </c>
      <c r="N2185" s="1" t="str">
        <f t="shared" si="643"/>
        <v>Y</v>
      </c>
      <c r="O2185" s="1" t="str">
        <f t="shared" si="631"/>
        <v>Y</v>
      </c>
      <c r="P2185" s="1" t="str">
        <f t="shared" si="630"/>
        <v>Y</v>
      </c>
      <c r="Q2185" s="1" t="str">
        <f t="shared" si="635"/>
        <v>A</v>
      </c>
    </row>
    <row r="2186" spans="1:17" x14ac:dyDescent="0.3">
      <c r="A2186" s="1" t="str">
        <f t="shared" si="641"/>
        <v>ZC</v>
      </c>
      <c r="B2186" s="1" t="str">
        <f>"J0341"</f>
        <v>J0341</v>
      </c>
      <c r="C2186" s="1" t="str">
        <f>"대장용종(과형성용종)"</f>
        <v>대장용종(과형성용종)</v>
      </c>
      <c r="D2186" s="1" t="str">
        <f>"대장내시경 조직검사결과는 과형성 용종입니다. 과형성 용종은 암성변화를 하지 않으므로 정기적인(2~5년) 대장내시경 검사만 하시면 됩니다."</f>
        <v>대장내시경 조직검사결과는 과형성 용종입니다. 과형성 용종은 암성변화를 하지 않으므로 정기적인(2~5년) 대장내시경 검사만 하시면 됩니다.</v>
      </c>
      <c r="E2186" s="1" t="str">
        <f>"WOK02"</f>
        <v>WOK02</v>
      </c>
      <c r="F2186" s="1" t="str">
        <f>""</f>
        <v/>
      </c>
      <c r="G2186" s="1" t="str">
        <f>""</f>
        <v/>
      </c>
      <c r="H2186" s="1" t="str">
        <f t="shared" si="644"/>
        <v>REL33</v>
      </c>
      <c r="I2186" s="1" t="str">
        <f>""</f>
        <v/>
      </c>
      <c r="J2186" s="1" t="str">
        <f>""</f>
        <v/>
      </c>
      <c r="K2186" s="1" t="str">
        <f>""</f>
        <v/>
      </c>
      <c r="L2186" s="1" t="str">
        <f t="shared" si="642"/>
        <v>R</v>
      </c>
      <c r="M2186" s="1" t="str">
        <f>""</f>
        <v/>
      </c>
      <c r="N2186" s="1" t="str">
        <f t="shared" si="643"/>
        <v>Y</v>
      </c>
      <c r="O2186" s="1" t="str">
        <f t="shared" si="631"/>
        <v>Y</v>
      </c>
      <c r="P2186" s="1" t="str">
        <f t="shared" ref="P2186:P2249" si="645">"Y"</f>
        <v>Y</v>
      </c>
      <c r="Q2186" s="1" t="str">
        <f t="shared" si="635"/>
        <v>A</v>
      </c>
    </row>
    <row r="2187" spans="1:17" x14ac:dyDescent="0.3">
      <c r="A2187" s="1" t="str">
        <f t="shared" si="641"/>
        <v>ZC</v>
      </c>
      <c r="B2187" s="1" t="str">
        <f>"J0342"</f>
        <v>J0342</v>
      </c>
      <c r="C2187" s="1" t="str">
        <f>"대장용종(비특이적 변화)"</f>
        <v>대장용종(비특이적 변화)</v>
      </c>
      <c r="D2187" s="1" t="s">
        <v>636</v>
      </c>
      <c r="E2187" s="1" t="str">
        <f>"WOK02"</f>
        <v>WOK02</v>
      </c>
      <c r="F2187" s="1" t="str">
        <f>""</f>
        <v/>
      </c>
      <c r="G2187" s="1" t="str">
        <f>""</f>
        <v/>
      </c>
      <c r="H2187" s="1" t="str">
        <f t="shared" si="644"/>
        <v>REL33</v>
      </c>
      <c r="I2187" s="1" t="str">
        <f>""</f>
        <v/>
      </c>
      <c r="J2187" s="1" t="str">
        <f>""</f>
        <v/>
      </c>
      <c r="K2187" s="1" t="str">
        <f>""</f>
        <v/>
      </c>
      <c r="L2187" s="1" t="str">
        <f t="shared" si="642"/>
        <v>R</v>
      </c>
      <c r="M2187" s="1" t="str">
        <f>""</f>
        <v/>
      </c>
      <c r="N2187" s="1" t="str">
        <f t="shared" si="643"/>
        <v>Y</v>
      </c>
      <c r="O2187" s="1" t="str">
        <f t="shared" si="631"/>
        <v>Y</v>
      </c>
      <c r="P2187" s="1" t="str">
        <f t="shared" si="645"/>
        <v>Y</v>
      </c>
      <c r="Q2187" s="1" t="str">
        <f t="shared" si="635"/>
        <v>A</v>
      </c>
    </row>
    <row r="2188" spans="1:17" x14ac:dyDescent="0.3">
      <c r="A2188" s="1" t="str">
        <f t="shared" si="641"/>
        <v>ZC</v>
      </c>
      <c r="B2188" s="1" t="str">
        <f>"J0343"</f>
        <v>J0343</v>
      </c>
      <c r="C2188" s="1" t="str">
        <f>"대장암"</f>
        <v>대장암</v>
      </c>
      <c r="D2188" s="1" t="str">
        <f>"대장내시경 검사에서 대장에서 암으로 의심되는 병변이 발견되어 조직검사를 시행하였고 조직 검사 결과 대장암으로 확진되었습니다. 빠른 시일 내에 의료기관을 방문하시어 추가적인 검사나 치료에 대하여 진료상담을 받으시기 바랍니다."</f>
        <v>대장내시경 검사에서 대장에서 암으로 의심되는 병변이 발견되어 조직검사를 시행하였고 조직 검사 결과 대장암으로 확진되었습니다. 빠른 시일 내에 의료기관을 방문하시어 추가적인 검사나 치료에 대하여 진료상담을 받으시기 바랍니다.</v>
      </c>
      <c r="E2188" s="1" t="str">
        <f>"WOK03"</f>
        <v>WOK03</v>
      </c>
      <c r="F2188" s="1" t="str">
        <f>""</f>
        <v/>
      </c>
      <c r="G2188" s="1" t="str">
        <f>""</f>
        <v/>
      </c>
      <c r="H2188" s="1" t="str">
        <f t="shared" si="644"/>
        <v>REL33</v>
      </c>
      <c r="I2188" s="1" t="str">
        <f>""</f>
        <v/>
      </c>
      <c r="J2188" s="1" t="str">
        <f>""</f>
        <v/>
      </c>
      <c r="K2188" s="1" t="str">
        <f>""</f>
        <v/>
      </c>
      <c r="L2188" s="1" t="str">
        <f t="shared" si="642"/>
        <v>R</v>
      </c>
      <c r="M2188" s="1" t="str">
        <f>""</f>
        <v/>
      </c>
      <c r="N2188" s="1" t="str">
        <f t="shared" si="643"/>
        <v>Y</v>
      </c>
      <c r="O2188" s="1" t="str">
        <f t="shared" si="631"/>
        <v>Y</v>
      </c>
      <c r="P2188" s="1" t="str">
        <f t="shared" si="645"/>
        <v>Y</v>
      </c>
      <c r="Q2188" s="1" t="str">
        <f t="shared" si="635"/>
        <v>A</v>
      </c>
    </row>
    <row r="2189" spans="1:17" x14ac:dyDescent="0.3">
      <c r="A2189" s="1" t="str">
        <f t="shared" si="641"/>
        <v>ZC</v>
      </c>
      <c r="B2189" s="1" t="str">
        <f>"J0344"</f>
        <v>J0344</v>
      </c>
      <c r="C2189" s="1" t="str">
        <f>"대장암(유암종)"</f>
        <v>대장암(유암종)</v>
      </c>
      <c r="D2189" s="1" t="str">
        <f>"대장내시경 검사에서 대장에서 암으로 의심되는 병변이 발견되어 조직검사를 시행하였고 조직 검사 결과 유암종으로 확진되었습니다. 빠른 시일 내에 의료기관을 방문하시어 추가적인 검사나 치료에 대하여 진료상담을 받으시기 바랍니다."</f>
        <v>대장내시경 검사에서 대장에서 암으로 의심되는 병변이 발견되어 조직검사를 시행하였고 조직 검사 결과 유암종으로 확진되었습니다. 빠른 시일 내에 의료기관을 방문하시어 추가적인 검사나 치료에 대하여 진료상담을 받으시기 바랍니다.</v>
      </c>
      <c r="E2189" s="1" t="str">
        <f>"WOK03"</f>
        <v>WOK03</v>
      </c>
      <c r="F2189" s="1" t="str">
        <f>""</f>
        <v/>
      </c>
      <c r="G2189" s="1" t="str">
        <f>""</f>
        <v/>
      </c>
      <c r="H2189" s="1" t="str">
        <f t="shared" si="644"/>
        <v>REL33</v>
      </c>
      <c r="I2189" s="1" t="str">
        <f>""</f>
        <v/>
      </c>
      <c r="J2189" s="1" t="str">
        <f>""</f>
        <v/>
      </c>
      <c r="K2189" s="1" t="str">
        <f>""</f>
        <v/>
      </c>
      <c r="L2189" s="1" t="str">
        <f t="shared" si="642"/>
        <v>R</v>
      </c>
      <c r="M2189" s="1" t="str">
        <f>""</f>
        <v/>
      </c>
      <c r="N2189" s="1" t="str">
        <f t="shared" si="643"/>
        <v>Y</v>
      </c>
      <c r="O2189" s="1" t="str">
        <f t="shared" si="631"/>
        <v>Y</v>
      </c>
      <c r="P2189" s="1" t="str">
        <f t="shared" si="645"/>
        <v>Y</v>
      </c>
      <c r="Q2189" s="1" t="str">
        <f t="shared" si="635"/>
        <v>A</v>
      </c>
    </row>
    <row r="2190" spans="1:17" x14ac:dyDescent="0.3">
      <c r="A2190" s="1" t="str">
        <f t="shared" si="641"/>
        <v>ZC</v>
      </c>
      <c r="B2190" s="1" t="str">
        <f>"J0345"</f>
        <v>J0345</v>
      </c>
      <c r="C2190" s="1" t="str">
        <f>"크론병"</f>
        <v>크론병</v>
      </c>
      <c r="D2190" s="1" t="str">
        <f>"대장내시경 검사상 크론병이 의심됩니다. 소화기관 전체에 만성적인 염증을 동반하는 만성 염증성 장질환입니다. 적절한 검사 및 치료를 위해 의료기관을 방문하시어 진료 상담을 받으시기 바랍니다."</f>
        <v>대장내시경 검사상 크론병이 의심됩니다. 소화기관 전체에 만성적인 염증을 동반하는 만성 염증성 장질환입니다. 적절한 검사 및 치료를 위해 의료기관을 방문하시어 진료 상담을 받으시기 바랍니다.</v>
      </c>
      <c r="E2190" s="1" t="str">
        <f t="shared" ref="E2190:E2196" si="646">"WOK02"</f>
        <v>WOK02</v>
      </c>
      <c r="F2190" s="1" t="str">
        <f>""</f>
        <v/>
      </c>
      <c r="G2190" s="1" t="str">
        <f>""</f>
        <v/>
      </c>
      <c r="H2190" s="1" t="str">
        <f t="shared" si="644"/>
        <v>REL33</v>
      </c>
      <c r="I2190" s="1" t="str">
        <f>""</f>
        <v/>
      </c>
      <c r="J2190" s="1" t="str">
        <f>""</f>
        <v/>
      </c>
      <c r="K2190" s="1" t="str">
        <f>""</f>
        <v/>
      </c>
      <c r="L2190" s="1" t="str">
        <f t="shared" si="642"/>
        <v>R</v>
      </c>
      <c r="M2190" s="1" t="str">
        <f>""</f>
        <v/>
      </c>
      <c r="N2190" s="1" t="str">
        <f t="shared" si="643"/>
        <v>Y</v>
      </c>
      <c r="O2190" s="1" t="str">
        <f t="shared" si="631"/>
        <v>Y</v>
      </c>
      <c r="P2190" s="1" t="str">
        <f t="shared" si="645"/>
        <v>Y</v>
      </c>
      <c r="Q2190" s="1" t="str">
        <f t="shared" si="635"/>
        <v>A</v>
      </c>
    </row>
    <row r="2191" spans="1:17" x14ac:dyDescent="0.3">
      <c r="A2191" s="1" t="str">
        <f t="shared" si="641"/>
        <v>ZC</v>
      </c>
      <c r="B2191" s="1" t="str">
        <f>"J0346"</f>
        <v>J0346</v>
      </c>
      <c r="C2191" s="1" t="str">
        <f>"베체트병"</f>
        <v>베체트병</v>
      </c>
      <c r="D2191" s="1" t="s">
        <v>637</v>
      </c>
      <c r="E2191" s="1" t="str">
        <f t="shared" si="646"/>
        <v>WOK02</v>
      </c>
      <c r="F2191" s="1" t="str">
        <f>""</f>
        <v/>
      </c>
      <c r="G2191" s="1" t="str">
        <f>""</f>
        <v/>
      </c>
      <c r="H2191" s="1" t="str">
        <f t="shared" si="644"/>
        <v>REL33</v>
      </c>
      <c r="I2191" s="1" t="str">
        <f>""</f>
        <v/>
      </c>
      <c r="J2191" s="1" t="str">
        <f>""</f>
        <v/>
      </c>
      <c r="K2191" s="1" t="str">
        <f>""</f>
        <v/>
      </c>
      <c r="L2191" s="1" t="str">
        <f t="shared" si="642"/>
        <v>R</v>
      </c>
      <c r="M2191" s="1" t="str">
        <f>""</f>
        <v/>
      </c>
      <c r="N2191" s="1" t="str">
        <f t="shared" si="643"/>
        <v>Y</v>
      </c>
      <c r="O2191" s="1" t="str">
        <f t="shared" si="631"/>
        <v>Y</v>
      </c>
      <c r="P2191" s="1" t="str">
        <f t="shared" si="645"/>
        <v>Y</v>
      </c>
      <c r="Q2191" s="1" t="str">
        <f t="shared" si="635"/>
        <v>A</v>
      </c>
    </row>
    <row r="2192" spans="1:17" x14ac:dyDescent="0.3">
      <c r="A2192" s="1" t="str">
        <f t="shared" si="641"/>
        <v>ZC</v>
      </c>
      <c r="B2192" s="1" t="str">
        <f>"J0347"</f>
        <v>J0347</v>
      </c>
      <c r="C2192" s="1" t="str">
        <f>"장결핵(결핵성 장염)"</f>
        <v>장결핵(결핵성 장염)</v>
      </c>
      <c r="D2192" s="1" t="str">
        <f>"대장내시경 검사상 결핵성 장염이 의심됩니다. 장결핵은 결핵균에 의해서 발생한 장내 장염입니다. 정확한 진단 및 치료 계획을 위해 의료기관을 방문하시어 진료 상담을 받으시기 바랍니다."</f>
        <v>대장내시경 검사상 결핵성 장염이 의심됩니다. 장결핵은 결핵균에 의해서 발생한 장내 장염입니다. 정확한 진단 및 치료 계획을 위해 의료기관을 방문하시어 진료 상담을 받으시기 바랍니다.</v>
      </c>
      <c r="E2192" s="1" t="str">
        <f t="shared" si="646"/>
        <v>WOK02</v>
      </c>
      <c r="F2192" s="1" t="str">
        <f>""</f>
        <v/>
      </c>
      <c r="G2192" s="1" t="str">
        <f>""</f>
        <v/>
      </c>
      <c r="H2192" s="1" t="str">
        <f t="shared" si="644"/>
        <v>REL33</v>
      </c>
      <c r="I2192" s="1" t="str">
        <f>""</f>
        <v/>
      </c>
      <c r="J2192" s="1" t="str">
        <f>""</f>
        <v/>
      </c>
      <c r="K2192" s="1" t="str">
        <f>""</f>
        <v/>
      </c>
      <c r="L2192" s="1" t="str">
        <f t="shared" si="642"/>
        <v>R</v>
      </c>
      <c r="M2192" s="1" t="str">
        <f>""</f>
        <v/>
      </c>
      <c r="N2192" s="1" t="str">
        <f t="shared" si="643"/>
        <v>Y</v>
      </c>
      <c r="O2192" s="1" t="str">
        <f t="shared" ref="O2192:O2255" si="647">"Y"</f>
        <v>Y</v>
      </c>
      <c r="P2192" s="1" t="str">
        <f t="shared" si="645"/>
        <v>Y</v>
      </c>
      <c r="Q2192" s="1" t="str">
        <f t="shared" si="635"/>
        <v>A</v>
      </c>
    </row>
    <row r="2193" spans="1:17" x14ac:dyDescent="0.3">
      <c r="A2193" s="1" t="str">
        <f t="shared" si="641"/>
        <v>ZC</v>
      </c>
      <c r="B2193" s="1" t="str">
        <f>"J0348"</f>
        <v>J0348</v>
      </c>
      <c r="C2193" s="1" t="str">
        <f>"비특이성 장염"</f>
        <v>비특이성 장염</v>
      </c>
      <c r="D2193" s="1" t="s">
        <v>638</v>
      </c>
      <c r="E2193" s="1" t="str">
        <f t="shared" si="646"/>
        <v>WOK02</v>
      </c>
      <c r="F2193" s="1" t="str">
        <f>""</f>
        <v/>
      </c>
      <c r="G2193" s="1" t="str">
        <f>""</f>
        <v/>
      </c>
      <c r="H2193" s="1" t="str">
        <f t="shared" si="644"/>
        <v>REL33</v>
      </c>
      <c r="I2193" s="1" t="str">
        <f>""</f>
        <v/>
      </c>
      <c r="J2193" s="1" t="str">
        <f>""</f>
        <v/>
      </c>
      <c r="K2193" s="1" t="str">
        <f>""</f>
        <v/>
      </c>
      <c r="L2193" s="1" t="str">
        <f t="shared" si="642"/>
        <v>R</v>
      </c>
      <c r="M2193" s="1" t="str">
        <f>""</f>
        <v/>
      </c>
      <c r="N2193" s="1" t="str">
        <f t="shared" si="643"/>
        <v>Y</v>
      </c>
      <c r="O2193" s="1" t="str">
        <f t="shared" si="647"/>
        <v>Y</v>
      </c>
      <c r="P2193" s="1" t="str">
        <f t="shared" si="645"/>
        <v>Y</v>
      </c>
      <c r="Q2193" s="1" t="str">
        <f t="shared" si="635"/>
        <v>A</v>
      </c>
    </row>
    <row r="2194" spans="1:17" x14ac:dyDescent="0.3">
      <c r="A2194" s="1" t="str">
        <f t="shared" si="641"/>
        <v>ZC</v>
      </c>
      <c r="B2194" s="1" t="str">
        <f>"J0349"</f>
        <v>J0349</v>
      </c>
      <c r="C2194" s="1" t="str">
        <f>"허혈성 장염"</f>
        <v>허혈성 장염</v>
      </c>
      <c r="D2194" s="1" t="str">
        <f>"대장내시경 검사상 허혈성 장염이 의심되어 조직검사를 시행하였습니다. 허혈성 장염이란 대장의 혈류공급에 장애가 생겨 발생하는 염증성 변화를 말합니다. 적절한 치료 및 추적검사를 위하여 빠른 시일내에 의료기관을 방문하시어 진료 상담을 받으시기 바랍니다."</f>
        <v>대장내시경 검사상 허혈성 장염이 의심되어 조직검사를 시행하였습니다. 허혈성 장염이란 대장의 혈류공급에 장애가 생겨 발생하는 염증성 변화를 말합니다. 적절한 치료 및 추적검사를 위하여 빠른 시일내에 의료기관을 방문하시어 진료 상담을 받으시기 바랍니다.</v>
      </c>
      <c r="E2194" s="1" t="str">
        <f t="shared" si="646"/>
        <v>WOK02</v>
      </c>
      <c r="F2194" s="1" t="str">
        <f>""</f>
        <v/>
      </c>
      <c r="G2194" s="1" t="str">
        <f>""</f>
        <v/>
      </c>
      <c r="H2194" s="1" t="str">
        <f t="shared" si="644"/>
        <v>REL33</v>
      </c>
      <c r="I2194" s="1" t="str">
        <f>""</f>
        <v/>
      </c>
      <c r="J2194" s="1" t="str">
        <f>""</f>
        <v/>
      </c>
      <c r="K2194" s="1" t="str">
        <f>""</f>
        <v/>
      </c>
      <c r="L2194" s="1" t="str">
        <f t="shared" si="642"/>
        <v>R</v>
      </c>
      <c r="M2194" s="1" t="str">
        <f>""</f>
        <v/>
      </c>
      <c r="N2194" s="1" t="str">
        <f t="shared" si="643"/>
        <v>Y</v>
      </c>
      <c r="O2194" s="1" t="str">
        <f t="shared" si="647"/>
        <v>Y</v>
      </c>
      <c r="P2194" s="1" t="str">
        <f t="shared" si="645"/>
        <v>Y</v>
      </c>
      <c r="Q2194" s="1" t="str">
        <f t="shared" si="635"/>
        <v>A</v>
      </c>
    </row>
    <row r="2195" spans="1:17" x14ac:dyDescent="0.3">
      <c r="A2195" s="1" t="str">
        <f t="shared" si="641"/>
        <v>ZC</v>
      </c>
      <c r="B2195" s="1" t="str">
        <f>"J0350"</f>
        <v>J0350</v>
      </c>
      <c r="C2195" s="1" t="str">
        <f>"치핵"</f>
        <v>치핵</v>
      </c>
      <c r="D2195" s="1" t="str">
        <f>"대장내시경 검사상 치핵(치질)이 진단되었습니다. 치핵이란 항문부근의 혈관이 혹처럼 늘어난 상태를 말합니다. 항문 돌출과 출혈 등의 증상이 심한 경우에는 수술이 필요할 수 있으니 의료기관을 방문하시어 진료 상담 받으시기 바랍니다."</f>
        <v>대장내시경 검사상 치핵(치질)이 진단되었습니다. 치핵이란 항문부근의 혈관이 혹처럼 늘어난 상태를 말합니다. 항문 돌출과 출혈 등의 증상이 심한 경우에는 수술이 필요할 수 있으니 의료기관을 방문하시어 진료 상담 받으시기 바랍니다.</v>
      </c>
      <c r="E2195" s="1" t="str">
        <f t="shared" si="646"/>
        <v>WOK02</v>
      </c>
      <c r="F2195" s="1" t="str">
        <f>""</f>
        <v/>
      </c>
      <c r="G2195" s="1" t="str">
        <f>""</f>
        <v/>
      </c>
      <c r="H2195" s="1" t="str">
        <f t="shared" si="644"/>
        <v>REL33</v>
      </c>
      <c r="I2195" s="1" t="str">
        <f>""</f>
        <v/>
      </c>
      <c r="J2195" s="1" t="str">
        <f>""</f>
        <v/>
      </c>
      <c r="K2195" s="1" t="str">
        <f>""</f>
        <v/>
      </c>
      <c r="L2195" s="1" t="str">
        <f t="shared" si="642"/>
        <v>R</v>
      </c>
      <c r="M2195" s="1" t="str">
        <f>""</f>
        <v/>
      </c>
      <c r="N2195" s="1" t="str">
        <f t="shared" si="643"/>
        <v>Y</v>
      </c>
      <c r="O2195" s="1" t="str">
        <f t="shared" si="647"/>
        <v>Y</v>
      </c>
      <c r="P2195" s="1" t="str">
        <f t="shared" si="645"/>
        <v>Y</v>
      </c>
      <c r="Q2195" s="1" t="str">
        <f t="shared" si="635"/>
        <v>A</v>
      </c>
    </row>
    <row r="2196" spans="1:17" x14ac:dyDescent="0.3">
      <c r="A2196" s="1" t="str">
        <f t="shared" si="641"/>
        <v>ZC</v>
      </c>
      <c r="B2196" s="1" t="str">
        <f>"J0351"</f>
        <v>J0351</v>
      </c>
      <c r="C2196" s="1" t="str">
        <f>"대장게실증"</f>
        <v>대장게실증</v>
      </c>
      <c r="D2196" s="1" t="str">
        <f>"대장내시경 검사상 게실이 관찰됩니다. 게실이란 장벽의 일부가 늘어나면서 작은 주머니처럼 오목하게 들어간 것을 말합니다. 발열을 동반한 복통이나 출혈 등의 증상이 없는 대장게실은 치료가 필요하지 않습니다. 의료기관을 방문하시어 진료 상담 받으시기 바랍니다."</f>
        <v>대장내시경 검사상 게실이 관찰됩니다. 게실이란 장벽의 일부가 늘어나면서 작은 주머니처럼 오목하게 들어간 것을 말합니다. 발열을 동반한 복통이나 출혈 등의 증상이 없는 대장게실은 치료가 필요하지 않습니다. 의료기관을 방문하시어 진료 상담 받으시기 바랍니다.</v>
      </c>
      <c r="E2196" s="1" t="str">
        <f t="shared" si="646"/>
        <v>WOK02</v>
      </c>
      <c r="F2196" s="1" t="str">
        <f>""</f>
        <v/>
      </c>
      <c r="G2196" s="1" t="str">
        <f>""</f>
        <v/>
      </c>
      <c r="H2196" s="1" t="str">
        <f t="shared" si="644"/>
        <v>REL33</v>
      </c>
      <c r="I2196" s="1" t="str">
        <f>""</f>
        <v/>
      </c>
      <c r="J2196" s="1" t="str">
        <f>""</f>
        <v/>
      </c>
      <c r="K2196" s="1" t="str">
        <f>""</f>
        <v/>
      </c>
      <c r="L2196" s="1" t="str">
        <f t="shared" si="642"/>
        <v>R</v>
      </c>
      <c r="M2196" s="1" t="str">
        <f>""</f>
        <v/>
      </c>
      <c r="N2196" s="1" t="str">
        <f t="shared" si="643"/>
        <v>Y</v>
      </c>
      <c r="O2196" s="1" t="str">
        <f t="shared" si="647"/>
        <v>Y</v>
      </c>
      <c r="P2196" s="1" t="str">
        <f t="shared" si="645"/>
        <v>Y</v>
      </c>
      <c r="Q2196" s="1" t="str">
        <f t="shared" si="635"/>
        <v>A</v>
      </c>
    </row>
    <row r="2197" spans="1:17" x14ac:dyDescent="0.3">
      <c r="A2197" s="1" t="str">
        <f t="shared" si="641"/>
        <v>ZC</v>
      </c>
      <c r="B2197" s="1" t="str">
        <f>"J0352"</f>
        <v>J0352</v>
      </c>
      <c r="C2197" s="1" t="str">
        <f>"점막하종양"</f>
        <v>점막하종양</v>
      </c>
      <c r="D2197" s="1" t="s">
        <v>639</v>
      </c>
      <c r="E2197" s="1" t="str">
        <f>"WOK03"</f>
        <v>WOK03</v>
      </c>
      <c r="F2197" s="1" t="str">
        <f>""</f>
        <v/>
      </c>
      <c r="G2197" s="1" t="str">
        <f>""</f>
        <v/>
      </c>
      <c r="H2197" s="1" t="str">
        <f t="shared" si="644"/>
        <v>REL33</v>
      </c>
      <c r="I2197" s="1" t="str">
        <f>""</f>
        <v/>
      </c>
      <c r="J2197" s="1" t="str">
        <f>""</f>
        <v/>
      </c>
      <c r="K2197" s="1" t="str">
        <f>""</f>
        <v/>
      </c>
      <c r="L2197" s="1" t="str">
        <f t="shared" si="642"/>
        <v>R</v>
      </c>
      <c r="M2197" s="1" t="str">
        <f>""</f>
        <v/>
      </c>
      <c r="N2197" s="1" t="str">
        <f t="shared" si="643"/>
        <v>Y</v>
      </c>
      <c r="O2197" s="1" t="str">
        <f t="shared" si="647"/>
        <v>Y</v>
      </c>
      <c r="P2197" s="1" t="str">
        <f t="shared" si="645"/>
        <v>Y</v>
      </c>
      <c r="Q2197" s="1" t="str">
        <f t="shared" si="635"/>
        <v>A</v>
      </c>
    </row>
    <row r="2198" spans="1:17" x14ac:dyDescent="0.3">
      <c r="A2198" s="1" t="str">
        <f t="shared" si="641"/>
        <v>ZC</v>
      </c>
      <c r="B2198" s="1" t="str">
        <f>"J0353"</f>
        <v>J0353</v>
      </c>
      <c r="C2198" s="1" t="str">
        <f>"림프구증식"</f>
        <v>림프구증식</v>
      </c>
      <c r="D2198" s="1" t="str">
        <f>"대장내시경 검사상 림프구증식이 의심되어 조직검사를 시행하였습니다. 림프구 증식은 악성변화가 없는 것으로 알려져 있기 때문에 아무런 치료가 필요하지 않습니다. 추적검사의 필요성과 기간에 대해서는 의료기관을 방문하시어 진료 상담 받으시기 바랍니다."</f>
        <v>대장내시경 검사상 림프구증식이 의심되어 조직검사를 시행하였습니다. 림프구 증식은 악성변화가 없는 것으로 알려져 있기 때문에 아무런 치료가 필요하지 않습니다. 추적검사의 필요성과 기간에 대해서는 의료기관을 방문하시어 진료 상담 받으시기 바랍니다.</v>
      </c>
      <c r="E2198" s="1" t="str">
        <f t="shared" ref="E2198:E2207" si="648">"WOK02"</f>
        <v>WOK02</v>
      </c>
      <c r="F2198" s="1" t="str">
        <f>""</f>
        <v/>
      </c>
      <c r="G2198" s="1" t="str">
        <f>""</f>
        <v/>
      </c>
      <c r="H2198" s="1" t="str">
        <f t="shared" si="644"/>
        <v>REL33</v>
      </c>
      <c r="I2198" s="1" t="str">
        <f>""</f>
        <v/>
      </c>
      <c r="J2198" s="1" t="str">
        <f>""</f>
        <v/>
      </c>
      <c r="K2198" s="1" t="str">
        <f>""</f>
        <v/>
      </c>
      <c r="L2198" s="1" t="str">
        <f t="shared" si="642"/>
        <v>R</v>
      </c>
      <c r="M2198" s="1" t="str">
        <f>""</f>
        <v/>
      </c>
      <c r="N2198" s="1" t="str">
        <f t="shared" si="643"/>
        <v>Y</v>
      </c>
      <c r="O2198" s="1" t="str">
        <f t="shared" si="647"/>
        <v>Y</v>
      </c>
      <c r="P2198" s="1" t="str">
        <f t="shared" si="645"/>
        <v>Y</v>
      </c>
      <c r="Q2198" s="1" t="str">
        <f t="shared" si="635"/>
        <v>A</v>
      </c>
    </row>
    <row r="2199" spans="1:17" x14ac:dyDescent="0.3">
      <c r="A2199" s="1" t="str">
        <f t="shared" si="641"/>
        <v>ZC</v>
      </c>
      <c r="B2199" s="1" t="str">
        <f>"J0354"</f>
        <v>J0354</v>
      </c>
      <c r="C2199" s="1" t="str">
        <f>"흑색증"</f>
        <v>흑색증</v>
      </c>
      <c r="D2199" s="1" t="str">
        <f>"대장내시경 검사상 대장흑색증이 진단되었습니다. 대장흑색증은 대장점막에 색소가 침착되어 검게 보이는 것으로 대개 변비약의 장기 복용에 의해 유발됩니다. 변비 치료 및 추적검사의 필요성과 기간에 대해서는 의료기관을 방문하시어 진료 상담 받으시기 바랍니다."</f>
        <v>대장내시경 검사상 대장흑색증이 진단되었습니다. 대장흑색증은 대장점막에 색소가 침착되어 검게 보이는 것으로 대개 변비약의 장기 복용에 의해 유발됩니다. 변비 치료 및 추적검사의 필요성과 기간에 대해서는 의료기관을 방문하시어 진료 상담 받으시기 바랍니다.</v>
      </c>
      <c r="E2199" s="1" t="str">
        <f t="shared" si="648"/>
        <v>WOK02</v>
      </c>
      <c r="F2199" s="1" t="str">
        <f>""</f>
        <v/>
      </c>
      <c r="G2199" s="1" t="str">
        <f>""</f>
        <v/>
      </c>
      <c r="H2199" s="1" t="str">
        <f t="shared" si="644"/>
        <v>REL33</v>
      </c>
      <c r="I2199" s="1" t="str">
        <f>""</f>
        <v/>
      </c>
      <c r="J2199" s="1" t="str">
        <f>""</f>
        <v/>
      </c>
      <c r="K2199" s="1" t="str">
        <f>""</f>
        <v/>
      </c>
      <c r="L2199" s="1" t="str">
        <f t="shared" si="642"/>
        <v>R</v>
      </c>
      <c r="M2199" s="1" t="str">
        <f>""</f>
        <v/>
      </c>
      <c r="N2199" s="1" t="str">
        <f t="shared" si="643"/>
        <v>Y</v>
      </c>
      <c r="O2199" s="1" t="str">
        <f t="shared" si="647"/>
        <v>Y</v>
      </c>
      <c r="P2199" s="1" t="str">
        <f t="shared" si="645"/>
        <v>Y</v>
      </c>
      <c r="Q2199" s="1" t="str">
        <f t="shared" si="635"/>
        <v>A</v>
      </c>
    </row>
    <row r="2200" spans="1:17" x14ac:dyDescent="0.3">
      <c r="A2200" s="1" t="str">
        <f t="shared" si="641"/>
        <v>ZC</v>
      </c>
      <c r="B2200" s="1" t="str">
        <f>"J0361"</f>
        <v>J0361</v>
      </c>
      <c r="C2200" s="1" t="str">
        <f>"표재성위염"</f>
        <v>표재성위염</v>
      </c>
      <c r="D2200" s="1" t="s">
        <v>640</v>
      </c>
      <c r="E2200" s="1" t="str">
        <f t="shared" si="648"/>
        <v>WOK02</v>
      </c>
      <c r="F2200" s="1" t="str">
        <f>""</f>
        <v/>
      </c>
      <c r="G2200" s="1" t="str">
        <f>""</f>
        <v/>
      </c>
      <c r="H2200" s="1" t="str">
        <f t="shared" si="644"/>
        <v>REL33</v>
      </c>
      <c r="I2200" s="1" t="str">
        <f>""</f>
        <v/>
      </c>
      <c r="J2200" s="1" t="str">
        <f>""</f>
        <v/>
      </c>
      <c r="K2200" s="1" t="str">
        <f>""</f>
        <v/>
      </c>
      <c r="L2200" s="1" t="str">
        <f t="shared" si="642"/>
        <v>R</v>
      </c>
      <c r="M2200" s="1" t="str">
        <f>""</f>
        <v/>
      </c>
      <c r="N2200" s="1" t="str">
        <f t="shared" si="643"/>
        <v>Y</v>
      </c>
      <c r="O2200" s="1" t="str">
        <f t="shared" si="647"/>
        <v>Y</v>
      </c>
      <c r="P2200" s="1" t="str">
        <f t="shared" si="645"/>
        <v>Y</v>
      </c>
      <c r="Q2200" s="1" t="str">
        <f t="shared" si="635"/>
        <v>A</v>
      </c>
    </row>
    <row r="2201" spans="1:17" x14ac:dyDescent="0.3">
      <c r="A2201" s="1" t="str">
        <f t="shared" si="641"/>
        <v>ZC</v>
      </c>
      <c r="B2201" s="1" t="str">
        <f>"J0362"</f>
        <v>J0362</v>
      </c>
      <c r="C2201" s="1" t="str">
        <f>"미란성위염"</f>
        <v>미란성위염</v>
      </c>
      <c r="D2201" s="1" t="s">
        <v>640</v>
      </c>
      <c r="E2201" s="1" t="str">
        <f t="shared" si="648"/>
        <v>WOK02</v>
      </c>
      <c r="F2201" s="1" t="str">
        <f>""</f>
        <v/>
      </c>
      <c r="G2201" s="1" t="str">
        <f>""</f>
        <v/>
      </c>
      <c r="H2201" s="1" t="str">
        <f t="shared" si="644"/>
        <v>REL33</v>
      </c>
      <c r="I2201" s="1" t="str">
        <f>""</f>
        <v/>
      </c>
      <c r="J2201" s="1" t="str">
        <f>""</f>
        <v/>
      </c>
      <c r="K2201" s="1" t="str">
        <f>""</f>
        <v/>
      </c>
      <c r="L2201" s="1" t="str">
        <f t="shared" si="642"/>
        <v>R</v>
      </c>
      <c r="M2201" s="1" t="str">
        <f>""</f>
        <v/>
      </c>
      <c r="N2201" s="1" t="str">
        <f t="shared" si="643"/>
        <v>Y</v>
      </c>
      <c r="O2201" s="1" t="str">
        <f t="shared" si="647"/>
        <v>Y</v>
      </c>
      <c r="P2201" s="1" t="str">
        <f t="shared" si="645"/>
        <v>Y</v>
      </c>
      <c r="Q2201" s="1" t="str">
        <f t="shared" si="635"/>
        <v>A</v>
      </c>
    </row>
    <row r="2202" spans="1:17" x14ac:dyDescent="0.3">
      <c r="A2202" s="1" t="str">
        <f t="shared" si="641"/>
        <v>ZC</v>
      </c>
      <c r="B2202" s="1" t="str">
        <f>"J0363"</f>
        <v>J0363</v>
      </c>
      <c r="C2202" s="1" t="str">
        <f>"위축성위염"</f>
        <v>위축성위염</v>
      </c>
      <c r="D2202" s="1" t="s">
        <v>640</v>
      </c>
      <c r="E2202" s="1" t="str">
        <f t="shared" si="648"/>
        <v>WOK02</v>
      </c>
      <c r="F2202" s="1" t="str">
        <f>""</f>
        <v/>
      </c>
      <c r="G2202" s="1" t="str">
        <f>""</f>
        <v/>
      </c>
      <c r="H2202" s="1" t="str">
        <f t="shared" si="644"/>
        <v>REL33</v>
      </c>
      <c r="I2202" s="1" t="str">
        <f>""</f>
        <v/>
      </c>
      <c r="J2202" s="1" t="str">
        <f>""</f>
        <v/>
      </c>
      <c r="K2202" s="1" t="str">
        <f>""</f>
        <v/>
      </c>
      <c r="L2202" s="1" t="str">
        <f t="shared" si="642"/>
        <v>R</v>
      </c>
      <c r="M2202" s="1" t="str">
        <f>""</f>
        <v/>
      </c>
      <c r="N2202" s="1" t="str">
        <f t="shared" si="643"/>
        <v>Y</v>
      </c>
      <c r="O2202" s="1" t="str">
        <f t="shared" si="647"/>
        <v>Y</v>
      </c>
      <c r="P2202" s="1" t="str">
        <f t="shared" si="645"/>
        <v>Y</v>
      </c>
      <c r="Q2202" s="1" t="str">
        <f t="shared" ref="Q2202:Q2265" si="649">"A"</f>
        <v>A</v>
      </c>
    </row>
    <row r="2203" spans="1:17" x14ac:dyDescent="0.3">
      <c r="A2203" s="1" t="str">
        <f t="shared" si="641"/>
        <v>ZC</v>
      </c>
      <c r="B2203" s="1" t="str">
        <f>"J0364"</f>
        <v>J0364</v>
      </c>
      <c r="C2203" s="1" t="str">
        <f>"장화생을 동반한 만성 위염"</f>
        <v>장화생을 동반한 만성 위염</v>
      </c>
      <c r="D2203" s="1" t="s">
        <v>641</v>
      </c>
      <c r="E2203" s="1" t="str">
        <f t="shared" si="648"/>
        <v>WOK02</v>
      </c>
      <c r="F2203" s="1" t="str">
        <f>""</f>
        <v/>
      </c>
      <c r="G2203" s="1" t="str">
        <f>""</f>
        <v/>
      </c>
      <c r="H2203" s="1" t="str">
        <f t="shared" si="644"/>
        <v>REL33</v>
      </c>
      <c r="I2203" s="1" t="str">
        <f>""</f>
        <v/>
      </c>
      <c r="J2203" s="1" t="str">
        <f>""</f>
        <v/>
      </c>
      <c r="K2203" s="1" t="str">
        <f>""</f>
        <v/>
      </c>
      <c r="L2203" s="1" t="str">
        <f t="shared" si="642"/>
        <v>R</v>
      </c>
      <c r="M2203" s="1" t="str">
        <f>""</f>
        <v/>
      </c>
      <c r="N2203" s="1" t="str">
        <f t="shared" si="643"/>
        <v>Y</v>
      </c>
      <c r="O2203" s="1" t="str">
        <f t="shared" si="647"/>
        <v>Y</v>
      </c>
      <c r="P2203" s="1" t="str">
        <f t="shared" si="645"/>
        <v>Y</v>
      </c>
      <c r="Q2203" s="1" t="str">
        <f t="shared" si="649"/>
        <v>A</v>
      </c>
    </row>
    <row r="2204" spans="1:17" x14ac:dyDescent="0.3">
      <c r="A2204" s="1" t="str">
        <f t="shared" si="641"/>
        <v>ZC</v>
      </c>
      <c r="B2204" s="1" t="str">
        <f>"J0365"</f>
        <v>J0365</v>
      </c>
      <c r="C2204" s="1" t="str">
        <f>"상복부초음파검사상 고도의 지방간"</f>
        <v>상복부초음파검사상 고도의 지방간</v>
      </c>
      <c r="D2204" s="1" t="s">
        <v>642</v>
      </c>
      <c r="E2204" s="1" t="str">
        <f t="shared" si="648"/>
        <v>WOK02</v>
      </c>
      <c r="F2204" s="1" t="str">
        <f>""</f>
        <v/>
      </c>
      <c r="G2204" s="1" t="str">
        <f>"DISK"</f>
        <v>DISK</v>
      </c>
      <c r="H2204" s="1" t="str">
        <f>"REL05"</f>
        <v>REL05</v>
      </c>
      <c r="I2204" s="1" t="str">
        <f>""</f>
        <v/>
      </c>
      <c r="J2204" s="1" t="str">
        <f>"C05C"</f>
        <v>C05C</v>
      </c>
      <c r="K2204" s="1" t="str">
        <f>"C05C"</f>
        <v>C05C</v>
      </c>
      <c r="L2204" s="1" t="str">
        <f t="shared" si="642"/>
        <v>R</v>
      </c>
      <c r="M2204" s="1" t="str">
        <f>"T02"</f>
        <v>T02</v>
      </c>
      <c r="N2204" s="1" t="str">
        <f t="shared" si="643"/>
        <v>Y</v>
      </c>
      <c r="O2204" s="1" t="str">
        <f t="shared" si="647"/>
        <v>Y</v>
      </c>
      <c r="P2204" s="1" t="str">
        <f t="shared" si="645"/>
        <v>Y</v>
      </c>
      <c r="Q2204" s="1" t="str">
        <f t="shared" si="649"/>
        <v>A</v>
      </c>
    </row>
    <row r="2205" spans="1:17" x14ac:dyDescent="0.3">
      <c r="A2205" s="1" t="str">
        <f t="shared" si="641"/>
        <v>ZC</v>
      </c>
      <c r="B2205" s="1" t="str">
        <f>"J0369"</f>
        <v>J0369</v>
      </c>
      <c r="C2205" s="1" t="str">
        <f>"만성활동성위염"</f>
        <v>만성활동성위염</v>
      </c>
      <c r="D2205" s="1" t="str">
        <f>"위내시경 조직검사 결과 만성 활동성 위염입니다. 내과 진료를 받으세요."</f>
        <v>위내시경 조직검사 결과 만성 활동성 위염입니다. 내과 진료를 받으세요.</v>
      </c>
      <c r="E2205" s="1" t="str">
        <f t="shared" si="648"/>
        <v>WOK02</v>
      </c>
      <c r="F2205" s="1" t="str">
        <f>""</f>
        <v/>
      </c>
      <c r="G2205" s="1" t="str">
        <f>""</f>
        <v/>
      </c>
      <c r="H2205" s="1" t="str">
        <f>"REL33"</f>
        <v>REL33</v>
      </c>
      <c r="I2205" s="1" t="str">
        <f>""</f>
        <v/>
      </c>
      <c r="J2205" s="1" t="str">
        <f>""</f>
        <v/>
      </c>
      <c r="K2205" s="1" t="str">
        <f>""</f>
        <v/>
      </c>
      <c r="L2205" s="1" t="str">
        <f t="shared" si="642"/>
        <v>R</v>
      </c>
      <c r="M2205" s="1" t="str">
        <f>""</f>
        <v/>
      </c>
      <c r="N2205" s="1" t="str">
        <f t="shared" si="643"/>
        <v>Y</v>
      </c>
      <c r="O2205" s="1" t="str">
        <f t="shared" si="647"/>
        <v>Y</v>
      </c>
      <c r="P2205" s="1" t="str">
        <f t="shared" si="645"/>
        <v>Y</v>
      </c>
      <c r="Q2205" s="1" t="str">
        <f t="shared" si="649"/>
        <v>A</v>
      </c>
    </row>
    <row r="2206" spans="1:17" x14ac:dyDescent="0.3">
      <c r="A2206" s="1" t="str">
        <f t="shared" si="641"/>
        <v>ZC</v>
      </c>
      <c r="B2206" s="1" t="str">
        <f>"J0370"</f>
        <v>J0370</v>
      </c>
      <c r="C2206" s="1" t="str">
        <f>"헬리코박터균관련 만성활동성위염"</f>
        <v>헬리코박터균관련 만성활동성위염</v>
      </c>
      <c r="D2206" s="1" t="str">
        <f>"위내시경 조직검사상 헬리코박터균 관련 만성 활동성 위염 입니다. 내과 진료를 받으세요."</f>
        <v>위내시경 조직검사상 헬리코박터균 관련 만성 활동성 위염 입니다. 내과 진료를 받으세요.</v>
      </c>
      <c r="E2206" s="1" t="str">
        <f t="shared" si="648"/>
        <v>WOK02</v>
      </c>
      <c r="F2206" s="1" t="str">
        <f>""</f>
        <v/>
      </c>
      <c r="G2206" s="1" t="str">
        <f>""</f>
        <v/>
      </c>
      <c r="H2206" s="1" t="str">
        <f>"REL33"</f>
        <v>REL33</v>
      </c>
      <c r="I2206" s="1" t="str">
        <f>""</f>
        <v/>
      </c>
      <c r="J2206" s="1" t="str">
        <f>""</f>
        <v/>
      </c>
      <c r="K2206" s="1" t="str">
        <f>""</f>
        <v/>
      </c>
      <c r="L2206" s="1" t="str">
        <f t="shared" si="642"/>
        <v>R</v>
      </c>
      <c r="M2206" s="1" t="str">
        <f>""</f>
        <v/>
      </c>
      <c r="N2206" s="1" t="str">
        <f t="shared" si="643"/>
        <v>Y</v>
      </c>
      <c r="O2206" s="1" t="str">
        <f t="shared" si="647"/>
        <v>Y</v>
      </c>
      <c r="P2206" s="1" t="str">
        <f t="shared" si="645"/>
        <v>Y</v>
      </c>
      <c r="Q2206" s="1" t="str">
        <f t="shared" si="649"/>
        <v>A</v>
      </c>
    </row>
    <row r="2207" spans="1:17" x14ac:dyDescent="0.3">
      <c r="A2207" s="1" t="str">
        <f t="shared" si="641"/>
        <v>ZC</v>
      </c>
      <c r="B2207" s="1" t="str">
        <f>"J0371"</f>
        <v>J0371</v>
      </c>
      <c r="C2207" s="1" t="s">
        <v>643</v>
      </c>
      <c r="D2207" s="1" t="s">
        <v>644</v>
      </c>
      <c r="E2207" s="1" t="str">
        <f t="shared" si="648"/>
        <v>WOK02</v>
      </c>
      <c r="F2207" s="1" t="str">
        <f>""</f>
        <v/>
      </c>
      <c r="G2207" s="1" t="str">
        <f>""</f>
        <v/>
      </c>
      <c r="H2207" s="1" t="str">
        <f>"REL33"</f>
        <v>REL33</v>
      </c>
      <c r="I2207" s="1" t="str">
        <f>""</f>
        <v/>
      </c>
      <c r="J2207" s="1" t="str">
        <f>""</f>
        <v/>
      </c>
      <c r="K2207" s="1" t="str">
        <f>""</f>
        <v/>
      </c>
      <c r="L2207" s="1" t="str">
        <f t="shared" si="642"/>
        <v>R</v>
      </c>
      <c r="M2207" s="1" t="str">
        <f>""</f>
        <v/>
      </c>
      <c r="N2207" s="1" t="str">
        <f t="shared" si="643"/>
        <v>Y</v>
      </c>
      <c r="O2207" s="1" t="str">
        <f t="shared" si="647"/>
        <v>Y</v>
      </c>
      <c r="P2207" s="1" t="str">
        <f t="shared" si="645"/>
        <v>Y</v>
      </c>
      <c r="Q2207" s="1" t="str">
        <f t="shared" si="649"/>
        <v>A</v>
      </c>
    </row>
    <row r="2208" spans="1:17" x14ac:dyDescent="0.3">
      <c r="A2208" s="1" t="str">
        <f t="shared" si="641"/>
        <v>ZC</v>
      </c>
      <c r="B2208" s="1" t="str">
        <f>"J0380"</f>
        <v>J0380</v>
      </c>
      <c r="C2208" s="1" t="str">
        <f>"위장조영검사상 십이지장용종의심"</f>
        <v>위장조영검사상 십이지장용종의심</v>
      </c>
      <c r="D2208" s="1" t="str">
        <f>"위장조영검사에서 십이지장 용종이 의심됩니다. 위내시경검사를 통한 확진과 치료 필요합니다. 의료기관을 방문하시어 위내시경검사를 받으시기 바랍니다."</f>
        <v>위장조영검사에서 십이지장 용종이 의심됩니다. 위내시경검사를 통한 확진과 치료 필요합니다. 의료기관을 방문하시어 위내시경검사를 받으시기 바랍니다.</v>
      </c>
      <c r="E2208" s="1" t="str">
        <f>""</f>
        <v/>
      </c>
      <c r="F2208" s="1" t="str">
        <f>""</f>
        <v/>
      </c>
      <c r="G2208" s="1" t="str">
        <f>""</f>
        <v/>
      </c>
      <c r="H2208" s="1" t="str">
        <f>""</f>
        <v/>
      </c>
      <c r="I2208" s="1" t="str">
        <f>""</f>
        <v/>
      </c>
      <c r="J2208" s="1" t="str">
        <f>""</f>
        <v/>
      </c>
      <c r="K2208" s="1" t="str">
        <f>""</f>
        <v/>
      </c>
      <c r="L2208" s="1" t="str">
        <f t="shared" si="642"/>
        <v>R</v>
      </c>
      <c r="M2208" s="1" t="str">
        <f>""</f>
        <v/>
      </c>
      <c r="N2208" s="1" t="str">
        <f t="shared" si="643"/>
        <v>Y</v>
      </c>
      <c r="O2208" s="1" t="str">
        <f t="shared" si="647"/>
        <v>Y</v>
      </c>
      <c r="P2208" s="1" t="str">
        <f t="shared" si="645"/>
        <v>Y</v>
      </c>
      <c r="Q2208" s="1" t="str">
        <f t="shared" si="649"/>
        <v>A</v>
      </c>
    </row>
    <row r="2209" spans="1:17" x14ac:dyDescent="0.3">
      <c r="A2209" s="1" t="str">
        <f t="shared" si="641"/>
        <v>ZC</v>
      </c>
      <c r="B2209" s="1" t="str">
        <f>"J0381"</f>
        <v>J0381</v>
      </c>
      <c r="C2209" s="1" t="str">
        <f>"위장조영검사상 십이지장종양 의심"</f>
        <v>위장조영검사상 십이지장종양 의심</v>
      </c>
      <c r="D2209" s="1" t="str">
        <f>"위장조영검사에서 십이지장에 종양이 의심됩니다. 위내시경검사를 통한 확진이 반드시 필요합니다. 빠른 시일 내에 의료기관을 방문하시어 위내시경검사를 받으시기 바랍니다."</f>
        <v>위장조영검사에서 십이지장에 종양이 의심됩니다. 위내시경검사를 통한 확진이 반드시 필요합니다. 빠른 시일 내에 의료기관을 방문하시어 위내시경검사를 받으시기 바랍니다.</v>
      </c>
      <c r="E2209" s="1" t="str">
        <f>""</f>
        <v/>
      </c>
      <c r="F2209" s="1" t="str">
        <f>""</f>
        <v/>
      </c>
      <c r="G2209" s="1" t="str">
        <f>""</f>
        <v/>
      </c>
      <c r="H2209" s="1" t="str">
        <f>""</f>
        <v/>
      </c>
      <c r="I2209" s="1" t="str">
        <f>""</f>
        <v/>
      </c>
      <c r="J2209" s="1" t="str">
        <f>""</f>
        <v/>
      </c>
      <c r="K2209" s="1" t="str">
        <f>""</f>
        <v/>
      </c>
      <c r="L2209" s="1" t="str">
        <f t="shared" si="642"/>
        <v>R</v>
      </c>
      <c r="M2209" s="1" t="str">
        <f>""</f>
        <v/>
      </c>
      <c r="N2209" s="1" t="str">
        <f t="shared" si="643"/>
        <v>Y</v>
      </c>
      <c r="O2209" s="1" t="str">
        <f t="shared" si="647"/>
        <v>Y</v>
      </c>
      <c r="P2209" s="1" t="str">
        <f t="shared" si="645"/>
        <v>Y</v>
      </c>
      <c r="Q2209" s="1" t="str">
        <f t="shared" si="649"/>
        <v>A</v>
      </c>
    </row>
    <row r="2210" spans="1:17" x14ac:dyDescent="0.3">
      <c r="A2210" s="1" t="str">
        <f t="shared" si="641"/>
        <v>ZC</v>
      </c>
      <c r="B2210" s="1" t="str">
        <f>"J0382"</f>
        <v>J0382</v>
      </c>
      <c r="C2210" s="1" t="str">
        <f>"위장조영검사상 위식도역류"</f>
        <v>위장조영검사상 위식도역류</v>
      </c>
      <c r="D2210" s="1" t="s">
        <v>645</v>
      </c>
      <c r="E2210" s="1" t="str">
        <f>""</f>
        <v/>
      </c>
      <c r="F2210" s="1" t="str">
        <f>""</f>
        <v/>
      </c>
      <c r="G2210" s="1" t="str">
        <f>""</f>
        <v/>
      </c>
      <c r="H2210" s="1" t="str">
        <f>""</f>
        <v/>
      </c>
      <c r="I2210" s="1" t="str">
        <f>""</f>
        <v/>
      </c>
      <c r="J2210" s="1" t="str">
        <f>""</f>
        <v/>
      </c>
      <c r="K2210" s="1" t="str">
        <f>""</f>
        <v/>
      </c>
      <c r="L2210" s="1" t="str">
        <f t="shared" si="642"/>
        <v>R</v>
      </c>
      <c r="M2210" s="1" t="str">
        <f>""</f>
        <v/>
      </c>
      <c r="N2210" s="1" t="str">
        <f t="shared" si="643"/>
        <v>Y</v>
      </c>
      <c r="O2210" s="1" t="str">
        <f t="shared" si="647"/>
        <v>Y</v>
      </c>
      <c r="P2210" s="1" t="str">
        <f t="shared" si="645"/>
        <v>Y</v>
      </c>
      <c r="Q2210" s="1" t="str">
        <f t="shared" si="649"/>
        <v>A</v>
      </c>
    </row>
    <row r="2211" spans="1:17" x14ac:dyDescent="0.3">
      <c r="A2211" s="1" t="str">
        <f t="shared" si="641"/>
        <v>ZC</v>
      </c>
      <c r="B2211" s="1" t="str">
        <f>"J0384"</f>
        <v>J0384</v>
      </c>
      <c r="C2211" s="1" t="str">
        <f>"갑상선염 의심"</f>
        <v>갑상선염 의심</v>
      </c>
      <c r="D2211" s="1" t="str">
        <f>"갑상선 초음파 검사에서 갑상선염 소견입니다. 내분비내과 진료후 정확한 진단 및 적절한 치료를 받으십시오."</f>
        <v>갑상선 초음파 검사에서 갑상선염 소견입니다. 내분비내과 진료후 정확한 진단 및 적절한 치료를 받으십시오.</v>
      </c>
      <c r="E2211" s="1" t="str">
        <f t="shared" ref="E2211:E2227" si="650">"WOK02"</f>
        <v>WOK02</v>
      </c>
      <c r="F2211" s="1" t="str">
        <f>""</f>
        <v/>
      </c>
      <c r="G2211" s="1" t="str">
        <f>""</f>
        <v/>
      </c>
      <c r="H2211" s="1" t="str">
        <f t="shared" ref="H2211:H2228" si="651">"REL23"</f>
        <v>REL23</v>
      </c>
      <c r="I2211" s="1" t="str">
        <f>""</f>
        <v/>
      </c>
      <c r="J2211" s="1" t="str">
        <f>""</f>
        <v/>
      </c>
      <c r="K2211" s="1" t="str">
        <f>""</f>
        <v/>
      </c>
      <c r="L2211" s="1" t="str">
        <f t="shared" si="642"/>
        <v>R</v>
      </c>
      <c r="M2211" s="1" t="str">
        <f>""</f>
        <v/>
      </c>
      <c r="N2211" s="1" t="str">
        <f t="shared" si="643"/>
        <v>Y</v>
      </c>
      <c r="O2211" s="1" t="str">
        <f t="shared" si="647"/>
        <v>Y</v>
      </c>
      <c r="P2211" s="1" t="str">
        <f t="shared" si="645"/>
        <v>Y</v>
      </c>
      <c r="Q2211" s="1" t="str">
        <f t="shared" si="649"/>
        <v>A</v>
      </c>
    </row>
    <row r="2212" spans="1:17" x14ac:dyDescent="0.3">
      <c r="A2212" s="1" t="str">
        <f t="shared" si="641"/>
        <v>ZC</v>
      </c>
      <c r="B2212" s="1" t="str">
        <f>"J0385"</f>
        <v>J0385</v>
      </c>
      <c r="C2212" s="1" t="str">
        <f>"하시모토 갑상선염 의심"</f>
        <v>하시모토 갑상선염 의심</v>
      </c>
      <c r="D2212" s="1" t="str">
        <f>"갑상선 초음파 검사에서 하시모토 갑상선염 의심 소견입니다. 내분비내과 진료후 정확한 진단 및 적절한 관리를 받으십시오."</f>
        <v>갑상선 초음파 검사에서 하시모토 갑상선염 의심 소견입니다. 내분비내과 진료후 정확한 진단 및 적절한 관리를 받으십시오.</v>
      </c>
      <c r="E2212" s="1" t="str">
        <f t="shared" si="650"/>
        <v>WOK02</v>
      </c>
      <c r="F2212" s="1" t="str">
        <f>""</f>
        <v/>
      </c>
      <c r="G2212" s="1" t="str">
        <f>""</f>
        <v/>
      </c>
      <c r="H2212" s="1" t="str">
        <f t="shared" si="651"/>
        <v>REL23</v>
      </c>
      <c r="I2212" s="1" t="str">
        <f>""</f>
        <v/>
      </c>
      <c r="J2212" s="1" t="str">
        <f>""</f>
        <v/>
      </c>
      <c r="K2212" s="1" t="str">
        <f>""</f>
        <v/>
      </c>
      <c r="L2212" s="1" t="str">
        <f t="shared" si="642"/>
        <v>R</v>
      </c>
      <c r="M2212" s="1" t="str">
        <f>""</f>
        <v/>
      </c>
      <c r="N2212" s="1" t="str">
        <f t="shared" si="643"/>
        <v>Y</v>
      </c>
      <c r="O2212" s="1" t="str">
        <f t="shared" si="647"/>
        <v>Y</v>
      </c>
      <c r="P2212" s="1" t="str">
        <f t="shared" si="645"/>
        <v>Y</v>
      </c>
      <c r="Q2212" s="1" t="str">
        <f t="shared" si="649"/>
        <v>A</v>
      </c>
    </row>
    <row r="2213" spans="1:17" x14ac:dyDescent="0.3">
      <c r="A2213" s="1" t="str">
        <f t="shared" si="641"/>
        <v>ZC</v>
      </c>
      <c r="B2213" s="1" t="str">
        <f>"J0386"</f>
        <v>J0386</v>
      </c>
      <c r="C2213" s="1" t="str">
        <f>"갑상선 양측 낭종"</f>
        <v>갑상선 양측 낭종</v>
      </c>
      <c r="D2213" s="1" t="s">
        <v>646</v>
      </c>
      <c r="E2213" s="1" t="str">
        <f t="shared" si="650"/>
        <v>WOK02</v>
      </c>
      <c r="F2213" s="1" t="str">
        <f>""</f>
        <v/>
      </c>
      <c r="G2213" s="1" t="str">
        <f>""</f>
        <v/>
      </c>
      <c r="H2213" s="1" t="str">
        <f t="shared" si="651"/>
        <v>REL23</v>
      </c>
      <c r="I2213" s="1" t="str">
        <f>""</f>
        <v/>
      </c>
      <c r="J2213" s="1" t="str">
        <f>""</f>
        <v/>
      </c>
      <c r="K2213" s="1" t="str">
        <f>""</f>
        <v/>
      </c>
      <c r="L2213" s="1" t="str">
        <f t="shared" si="642"/>
        <v>R</v>
      </c>
      <c r="M2213" s="1" t="str">
        <f>""</f>
        <v/>
      </c>
      <c r="N2213" s="1" t="str">
        <f t="shared" si="643"/>
        <v>Y</v>
      </c>
      <c r="O2213" s="1" t="str">
        <f t="shared" si="647"/>
        <v>Y</v>
      </c>
      <c r="P2213" s="1" t="str">
        <f t="shared" si="645"/>
        <v>Y</v>
      </c>
      <c r="Q2213" s="1" t="str">
        <f t="shared" si="649"/>
        <v>A</v>
      </c>
    </row>
    <row r="2214" spans="1:17" x14ac:dyDescent="0.3">
      <c r="A2214" s="1" t="str">
        <f t="shared" si="641"/>
        <v>ZC</v>
      </c>
      <c r="B2214" s="1" t="str">
        <f>"J0387"</f>
        <v>J0387</v>
      </c>
      <c r="C2214" s="1" t="str">
        <f>"갑상선 우엽 낭종"</f>
        <v>갑상선 우엽 낭종</v>
      </c>
      <c r="D2214" s="1" t="str">
        <f>"갑상선 초음파 검사에서 갑상선의 우엽에 낭종 소견입니다. 갑상선 낭종은 매우 흔한 질환으로 세포가 퇴화 되어 콜로이드성 물질이 차서 생기는 것으로 특별한 증상이 없을 경우에는 정기적인 검진을 받으시면 됩니다."</f>
        <v>갑상선 초음파 검사에서 갑상선의 우엽에 낭종 소견입니다. 갑상선 낭종은 매우 흔한 질환으로 세포가 퇴화 되어 콜로이드성 물질이 차서 생기는 것으로 특별한 증상이 없을 경우에는 정기적인 검진을 받으시면 됩니다.</v>
      </c>
      <c r="E2214" s="1" t="str">
        <f t="shared" si="650"/>
        <v>WOK02</v>
      </c>
      <c r="F2214" s="1" t="str">
        <f>""</f>
        <v/>
      </c>
      <c r="G2214" s="1" t="str">
        <f>""</f>
        <v/>
      </c>
      <c r="H2214" s="1" t="str">
        <f t="shared" si="651"/>
        <v>REL23</v>
      </c>
      <c r="I2214" s="1" t="str">
        <f>""</f>
        <v/>
      </c>
      <c r="J2214" s="1" t="str">
        <f>""</f>
        <v/>
      </c>
      <c r="K2214" s="1" t="str">
        <f>""</f>
        <v/>
      </c>
      <c r="L2214" s="1" t="str">
        <f t="shared" si="642"/>
        <v>R</v>
      </c>
      <c r="M2214" s="1" t="str">
        <f>""</f>
        <v/>
      </c>
      <c r="N2214" s="1" t="str">
        <f t="shared" si="643"/>
        <v>Y</v>
      </c>
      <c r="O2214" s="1" t="str">
        <f t="shared" si="647"/>
        <v>Y</v>
      </c>
      <c r="P2214" s="1" t="str">
        <f t="shared" si="645"/>
        <v>Y</v>
      </c>
      <c r="Q2214" s="1" t="str">
        <f t="shared" si="649"/>
        <v>A</v>
      </c>
    </row>
    <row r="2215" spans="1:17" x14ac:dyDescent="0.3">
      <c r="A2215" s="1" t="str">
        <f t="shared" si="641"/>
        <v>ZC</v>
      </c>
      <c r="B2215" s="1" t="str">
        <f>"J0388"</f>
        <v>J0388</v>
      </c>
      <c r="C2215" s="1" t="str">
        <f>"갑상선 좌엽 낭종"</f>
        <v>갑상선 좌엽 낭종</v>
      </c>
      <c r="D2215" s="1" t="str">
        <f>"갑상선 초음파 검사에서 갑상선의 좌엽에 낭종 소견입니다. 갑상선 낭종은 매우 흔한 질환으로 세포가 퇴화 되어 콜로이드성 물질이 차서 생기는 것으로 특별한 증상이 없을 경우에는 정기적인 검진을 받으시면 됩니다."</f>
        <v>갑상선 초음파 검사에서 갑상선의 좌엽에 낭종 소견입니다. 갑상선 낭종은 매우 흔한 질환으로 세포가 퇴화 되어 콜로이드성 물질이 차서 생기는 것으로 특별한 증상이 없을 경우에는 정기적인 검진을 받으시면 됩니다.</v>
      </c>
      <c r="E2215" s="1" t="str">
        <f t="shared" si="650"/>
        <v>WOK02</v>
      </c>
      <c r="F2215" s="1" t="str">
        <f>""</f>
        <v/>
      </c>
      <c r="G2215" s="1" t="str">
        <f>""</f>
        <v/>
      </c>
      <c r="H2215" s="1" t="str">
        <f t="shared" si="651"/>
        <v>REL23</v>
      </c>
      <c r="I2215" s="1" t="str">
        <f>""</f>
        <v/>
      </c>
      <c r="J2215" s="1" t="str">
        <f>""</f>
        <v/>
      </c>
      <c r="K2215" s="1" t="str">
        <f>""</f>
        <v/>
      </c>
      <c r="L2215" s="1" t="str">
        <f t="shared" si="642"/>
        <v>R</v>
      </c>
      <c r="M2215" s="1" t="str">
        <f>""</f>
        <v/>
      </c>
      <c r="N2215" s="1" t="str">
        <f t="shared" si="643"/>
        <v>Y</v>
      </c>
      <c r="O2215" s="1" t="str">
        <f t="shared" si="647"/>
        <v>Y</v>
      </c>
      <c r="P2215" s="1" t="str">
        <f t="shared" si="645"/>
        <v>Y</v>
      </c>
      <c r="Q2215" s="1" t="str">
        <f t="shared" si="649"/>
        <v>A</v>
      </c>
    </row>
    <row r="2216" spans="1:17" x14ac:dyDescent="0.3">
      <c r="A2216" s="1" t="str">
        <f t="shared" si="641"/>
        <v>ZC</v>
      </c>
      <c r="B2216" s="1" t="str">
        <f>"J0389"</f>
        <v>J0389</v>
      </c>
      <c r="C2216" s="1" t="str">
        <f>"양측 갑상선 결절 의심"</f>
        <v>양측 갑상선 결절 의심</v>
      </c>
      <c r="D2216" s="1" t="s">
        <v>647</v>
      </c>
      <c r="E2216" s="1" t="str">
        <f t="shared" si="650"/>
        <v>WOK02</v>
      </c>
      <c r="F2216" s="1" t="str">
        <f>""</f>
        <v/>
      </c>
      <c r="G2216" s="1" t="str">
        <f>""</f>
        <v/>
      </c>
      <c r="H2216" s="1" t="str">
        <f t="shared" si="651"/>
        <v>REL23</v>
      </c>
      <c r="I2216" s="1" t="str">
        <f>""</f>
        <v/>
      </c>
      <c r="J2216" s="1" t="str">
        <f>""</f>
        <v/>
      </c>
      <c r="K2216" s="1" t="str">
        <f>""</f>
        <v/>
      </c>
      <c r="L2216" s="1" t="str">
        <f t="shared" si="642"/>
        <v>R</v>
      </c>
      <c r="M2216" s="1" t="str">
        <f>""</f>
        <v/>
      </c>
      <c r="N2216" s="1" t="str">
        <f t="shared" si="643"/>
        <v>Y</v>
      </c>
      <c r="O2216" s="1" t="str">
        <f t="shared" si="647"/>
        <v>Y</v>
      </c>
      <c r="P2216" s="1" t="str">
        <f t="shared" si="645"/>
        <v>Y</v>
      </c>
      <c r="Q2216" s="1" t="str">
        <f t="shared" si="649"/>
        <v>A</v>
      </c>
    </row>
    <row r="2217" spans="1:17" x14ac:dyDescent="0.3">
      <c r="A2217" s="1" t="str">
        <f t="shared" si="641"/>
        <v>ZC</v>
      </c>
      <c r="B2217" s="1" t="str">
        <f>"J0390"</f>
        <v>J0390</v>
      </c>
      <c r="C2217" s="1" t="str">
        <f>"우측 갑상선 결절 의심"</f>
        <v>우측 갑상선 결절 의심</v>
      </c>
      <c r="D2217" s="1" t="str">
        <f>"갑상선 초음파 검사에서 갑상선의 우측(우엽)에 결절 소견입니다. 갑상선 일부가 비정상적으로 커져서 결절을 형성하는 것을 말합니다. 내분비내과 진료후 정확한 진단 및 적절한 관리 받으십시오."</f>
        <v>갑상선 초음파 검사에서 갑상선의 우측(우엽)에 결절 소견입니다. 갑상선 일부가 비정상적으로 커져서 결절을 형성하는 것을 말합니다. 내분비내과 진료후 정확한 진단 및 적절한 관리 받으십시오.</v>
      </c>
      <c r="E2217" s="1" t="str">
        <f t="shared" si="650"/>
        <v>WOK02</v>
      </c>
      <c r="F2217" s="1" t="str">
        <f>""</f>
        <v/>
      </c>
      <c r="G2217" s="1" t="str">
        <f>""</f>
        <v/>
      </c>
      <c r="H2217" s="1" t="str">
        <f t="shared" si="651"/>
        <v>REL23</v>
      </c>
      <c r="I2217" s="1" t="str">
        <f>""</f>
        <v/>
      </c>
      <c r="J2217" s="1" t="str">
        <f>""</f>
        <v/>
      </c>
      <c r="K2217" s="1" t="str">
        <f>""</f>
        <v/>
      </c>
      <c r="L2217" s="1" t="str">
        <f t="shared" si="642"/>
        <v>R</v>
      </c>
      <c r="M2217" s="1" t="str">
        <f>""</f>
        <v/>
      </c>
      <c r="N2217" s="1" t="str">
        <f t="shared" si="643"/>
        <v>Y</v>
      </c>
      <c r="O2217" s="1" t="str">
        <f t="shared" si="647"/>
        <v>Y</v>
      </c>
      <c r="P2217" s="1" t="str">
        <f t="shared" si="645"/>
        <v>Y</v>
      </c>
      <c r="Q2217" s="1" t="str">
        <f t="shared" si="649"/>
        <v>A</v>
      </c>
    </row>
    <row r="2218" spans="1:17" x14ac:dyDescent="0.3">
      <c r="A2218" s="1" t="str">
        <f t="shared" si="641"/>
        <v>ZC</v>
      </c>
      <c r="B2218" s="1" t="str">
        <f>"J0391"</f>
        <v>J0391</v>
      </c>
      <c r="C2218" s="1" t="str">
        <f>"좌측 갑상선 결절 의심"</f>
        <v>좌측 갑상선 결절 의심</v>
      </c>
      <c r="D2218" s="1" t="str">
        <f>"갑상선 초음파 검사에서 갑상선의 좌측(좌엽)에 결절 소견입니다. 갑상선 일부가 비정상적으로 커져서 결절을 형성하는 것을 말합니다. 내분비내과 진료후 정확한 진단 및 적절한 관리 받으십시오."</f>
        <v>갑상선 초음파 검사에서 갑상선의 좌측(좌엽)에 결절 소견입니다. 갑상선 일부가 비정상적으로 커져서 결절을 형성하는 것을 말합니다. 내분비내과 진료후 정확한 진단 및 적절한 관리 받으십시오.</v>
      </c>
      <c r="E2218" s="1" t="str">
        <f t="shared" si="650"/>
        <v>WOK02</v>
      </c>
      <c r="F2218" s="1" t="str">
        <f>""</f>
        <v/>
      </c>
      <c r="G2218" s="1" t="str">
        <f>""</f>
        <v/>
      </c>
      <c r="H2218" s="1" t="str">
        <f t="shared" si="651"/>
        <v>REL23</v>
      </c>
      <c r="I2218" s="1" t="str">
        <f>""</f>
        <v/>
      </c>
      <c r="J2218" s="1" t="str">
        <f>""</f>
        <v/>
      </c>
      <c r="K2218" s="1" t="str">
        <f>""</f>
        <v/>
      </c>
      <c r="L2218" s="1" t="str">
        <f t="shared" si="642"/>
        <v>R</v>
      </c>
      <c r="M2218" s="1" t="str">
        <f>""</f>
        <v/>
      </c>
      <c r="N2218" s="1" t="str">
        <f t="shared" si="643"/>
        <v>Y</v>
      </c>
      <c r="O2218" s="1" t="str">
        <f t="shared" si="647"/>
        <v>Y</v>
      </c>
      <c r="P2218" s="1" t="str">
        <f t="shared" si="645"/>
        <v>Y</v>
      </c>
      <c r="Q2218" s="1" t="str">
        <f t="shared" si="649"/>
        <v>A</v>
      </c>
    </row>
    <row r="2219" spans="1:17" x14ac:dyDescent="0.3">
      <c r="A2219" s="1" t="str">
        <f t="shared" si="641"/>
        <v>ZC</v>
      </c>
      <c r="B2219" s="1" t="str">
        <f>"J0392"</f>
        <v>J0392</v>
      </c>
      <c r="C2219" s="1" t="str">
        <f>"갑상선 협부 결절 의심"</f>
        <v>갑상선 협부 결절 의심</v>
      </c>
      <c r="D2219" s="1" t="str">
        <f>"갑상선 초음파 검사에서 갑상선의 협부에 결절 소견입니다. 내분비내과 진료후 정확한 진단 및 적절한 관리를 받으십시오."</f>
        <v>갑상선 초음파 검사에서 갑상선의 협부에 결절 소견입니다. 내분비내과 진료후 정확한 진단 및 적절한 관리를 받으십시오.</v>
      </c>
      <c r="E2219" s="1" t="str">
        <f t="shared" si="650"/>
        <v>WOK02</v>
      </c>
      <c r="F2219" s="1" t="str">
        <f>""</f>
        <v/>
      </c>
      <c r="G2219" s="1" t="str">
        <f>""</f>
        <v/>
      </c>
      <c r="H2219" s="1" t="str">
        <f t="shared" si="651"/>
        <v>REL23</v>
      </c>
      <c r="I2219" s="1" t="str">
        <f>""</f>
        <v/>
      </c>
      <c r="J2219" s="1" t="str">
        <f>""</f>
        <v/>
      </c>
      <c r="K2219" s="1" t="str">
        <f>""</f>
        <v/>
      </c>
      <c r="L2219" s="1" t="str">
        <f t="shared" si="642"/>
        <v>R</v>
      </c>
      <c r="M2219" s="1" t="str">
        <f>""</f>
        <v/>
      </c>
      <c r="N2219" s="1" t="str">
        <f t="shared" si="643"/>
        <v>Y</v>
      </c>
      <c r="O2219" s="1" t="str">
        <f t="shared" si="647"/>
        <v>Y</v>
      </c>
      <c r="P2219" s="1" t="str">
        <f t="shared" si="645"/>
        <v>Y</v>
      </c>
      <c r="Q2219" s="1" t="str">
        <f t="shared" si="649"/>
        <v>A</v>
      </c>
    </row>
    <row r="2220" spans="1:17" x14ac:dyDescent="0.3">
      <c r="A2220" s="1" t="str">
        <f t="shared" si="641"/>
        <v>ZC</v>
      </c>
      <c r="B2220" s="1" t="str">
        <f>"J0393"</f>
        <v>J0393</v>
      </c>
      <c r="C2220" s="1" t="str">
        <f>"갑상선 비대"</f>
        <v>갑상선 비대</v>
      </c>
      <c r="D2220" s="1" t="str">
        <f>"갑상선 초음파 검사에서 갑상선 비대 소견입니다. 내분비내과 진료후 정확한 진단 및 적절한 관리 받으십시오."</f>
        <v>갑상선 초음파 검사에서 갑상선 비대 소견입니다. 내분비내과 진료후 정확한 진단 및 적절한 관리 받으십시오.</v>
      </c>
      <c r="E2220" s="1" t="str">
        <f t="shared" si="650"/>
        <v>WOK02</v>
      </c>
      <c r="F2220" s="1" t="str">
        <f>""</f>
        <v/>
      </c>
      <c r="G2220" s="1" t="str">
        <f>""</f>
        <v/>
      </c>
      <c r="H2220" s="1" t="str">
        <f t="shared" si="651"/>
        <v>REL23</v>
      </c>
      <c r="I2220" s="1" t="str">
        <f>""</f>
        <v/>
      </c>
      <c r="J2220" s="1" t="str">
        <f>""</f>
        <v/>
      </c>
      <c r="K2220" s="1" t="str">
        <f>""</f>
        <v/>
      </c>
      <c r="L2220" s="1" t="str">
        <f t="shared" si="642"/>
        <v>R</v>
      </c>
      <c r="M2220" s="1" t="str">
        <f>""</f>
        <v/>
      </c>
      <c r="N2220" s="1" t="str">
        <f t="shared" si="643"/>
        <v>Y</v>
      </c>
      <c r="O2220" s="1" t="str">
        <f t="shared" si="647"/>
        <v>Y</v>
      </c>
      <c r="P2220" s="1" t="str">
        <f t="shared" si="645"/>
        <v>Y</v>
      </c>
      <c r="Q2220" s="1" t="str">
        <f t="shared" si="649"/>
        <v>A</v>
      </c>
    </row>
    <row r="2221" spans="1:17" x14ac:dyDescent="0.3">
      <c r="A2221" s="1" t="str">
        <f t="shared" si="641"/>
        <v>ZC</v>
      </c>
      <c r="B2221" s="1" t="str">
        <f>"J0394"</f>
        <v>J0394</v>
      </c>
      <c r="C2221" s="1" t="str">
        <f>"갑상선 석회화"</f>
        <v>갑상선 석회화</v>
      </c>
      <c r="D2221" s="1" t="str">
        <f>"갑상선 초음파 검사에서 갑상선에 석회화 소견입니다. 내분비내과 상담후 정확한 진단 및 적절한 관리를 받으십시오."</f>
        <v>갑상선 초음파 검사에서 갑상선에 석회화 소견입니다. 내분비내과 상담후 정확한 진단 및 적절한 관리를 받으십시오.</v>
      </c>
      <c r="E2221" s="1" t="str">
        <f t="shared" si="650"/>
        <v>WOK02</v>
      </c>
      <c r="F2221" s="1" t="str">
        <f>""</f>
        <v/>
      </c>
      <c r="G2221" s="1" t="str">
        <f>""</f>
        <v/>
      </c>
      <c r="H2221" s="1" t="str">
        <f t="shared" si="651"/>
        <v>REL23</v>
      </c>
      <c r="I2221" s="1" t="str">
        <f>""</f>
        <v/>
      </c>
      <c r="J2221" s="1" t="str">
        <f>""</f>
        <v/>
      </c>
      <c r="K2221" s="1" t="str">
        <f>""</f>
        <v/>
      </c>
      <c r="L2221" s="1" t="str">
        <f t="shared" si="642"/>
        <v>R</v>
      </c>
      <c r="M2221" s="1" t="str">
        <f>""</f>
        <v/>
      </c>
      <c r="N2221" s="1" t="str">
        <f t="shared" si="643"/>
        <v>Y</v>
      </c>
      <c r="O2221" s="1" t="str">
        <f t="shared" si="647"/>
        <v>Y</v>
      </c>
      <c r="P2221" s="1" t="str">
        <f t="shared" si="645"/>
        <v>Y</v>
      </c>
      <c r="Q2221" s="1" t="str">
        <f t="shared" si="649"/>
        <v>A</v>
      </c>
    </row>
    <row r="2222" spans="1:17" x14ac:dyDescent="0.3">
      <c r="A2222" s="1" t="str">
        <f t="shared" si="641"/>
        <v>ZC</v>
      </c>
      <c r="B2222" s="1" t="str">
        <f>"J0395"</f>
        <v>J0395</v>
      </c>
      <c r="C2222" s="1" t="str">
        <f>"림프종 의심"</f>
        <v>림프종 의심</v>
      </c>
      <c r="D2222" s="1" t="str">
        <f>"갑상선 초음파 검사에서 림프종 소견입니다. 내분비내과 진료후 정확한 진단 및 적절한 관리 받으십시오."</f>
        <v>갑상선 초음파 검사에서 림프종 소견입니다. 내분비내과 진료후 정확한 진단 및 적절한 관리 받으십시오.</v>
      </c>
      <c r="E2222" s="1" t="str">
        <f t="shared" si="650"/>
        <v>WOK02</v>
      </c>
      <c r="F2222" s="1" t="str">
        <f>""</f>
        <v/>
      </c>
      <c r="G2222" s="1" t="str">
        <f>""</f>
        <v/>
      </c>
      <c r="H2222" s="1" t="str">
        <f t="shared" si="651"/>
        <v>REL23</v>
      </c>
      <c r="I2222" s="1" t="str">
        <f>""</f>
        <v/>
      </c>
      <c r="J2222" s="1" t="str">
        <f>""</f>
        <v/>
      </c>
      <c r="K2222" s="1" t="str">
        <f>""</f>
        <v/>
      </c>
      <c r="L2222" s="1" t="str">
        <f t="shared" si="642"/>
        <v>R</v>
      </c>
      <c r="M2222" s="1" t="str">
        <f>""</f>
        <v/>
      </c>
      <c r="N2222" s="1" t="str">
        <f t="shared" si="643"/>
        <v>Y</v>
      </c>
      <c r="O2222" s="1" t="str">
        <f t="shared" si="647"/>
        <v>Y</v>
      </c>
      <c r="P2222" s="1" t="str">
        <f t="shared" si="645"/>
        <v>Y</v>
      </c>
      <c r="Q2222" s="1" t="str">
        <f t="shared" si="649"/>
        <v>A</v>
      </c>
    </row>
    <row r="2223" spans="1:17" x14ac:dyDescent="0.3">
      <c r="A2223" s="1" t="str">
        <f t="shared" si="641"/>
        <v>ZC</v>
      </c>
      <c r="B2223" s="1" t="str">
        <f>"J0396"</f>
        <v>J0396</v>
      </c>
      <c r="C2223" s="1" t="str">
        <f>"만성 갑상선염 의심"</f>
        <v>만성 갑상선염 의심</v>
      </c>
      <c r="D2223" s="1" t="str">
        <f>"갑상선 초음파 검사에서 만성 갑상선염 의심 소견입니다. 내분비내과 진료후 정확한 진단 및 적절한 관리를 받으십시오."</f>
        <v>갑상선 초음파 검사에서 만성 갑상선염 의심 소견입니다. 내분비내과 진료후 정확한 진단 및 적절한 관리를 받으십시오.</v>
      </c>
      <c r="E2223" s="1" t="str">
        <f t="shared" si="650"/>
        <v>WOK02</v>
      </c>
      <c r="F2223" s="1" t="str">
        <f>""</f>
        <v/>
      </c>
      <c r="G2223" s="1" t="str">
        <f>""</f>
        <v/>
      </c>
      <c r="H2223" s="1" t="str">
        <f t="shared" si="651"/>
        <v>REL23</v>
      </c>
      <c r="I2223" s="1" t="str">
        <f>""</f>
        <v/>
      </c>
      <c r="J2223" s="1" t="str">
        <f>""</f>
        <v/>
      </c>
      <c r="K2223" s="1" t="str">
        <f>""</f>
        <v/>
      </c>
      <c r="L2223" s="1" t="str">
        <f t="shared" si="642"/>
        <v>R</v>
      </c>
      <c r="M2223" s="1" t="str">
        <f>""</f>
        <v/>
      </c>
      <c r="N2223" s="1" t="str">
        <f t="shared" si="643"/>
        <v>Y</v>
      </c>
      <c r="O2223" s="1" t="str">
        <f t="shared" si="647"/>
        <v>Y</v>
      </c>
      <c r="P2223" s="1" t="str">
        <f t="shared" si="645"/>
        <v>Y</v>
      </c>
      <c r="Q2223" s="1" t="str">
        <f t="shared" si="649"/>
        <v>A</v>
      </c>
    </row>
    <row r="2224" spans="1:17" x14ac:dyDescent="0.3">
      <c r="A2224" s="1" t="str">
        <f t="shared" si="641"/>
        <v>ZC</v>
      </c>
      <c r="B2224" s="1" t="str">
        <f>"J0397"</f>
        <v>J0397</v>
      </c>
      <c r="C2224" s="1" t="str">
        <f>"양측 갑상선 종괴"</f>
        <v>양측 갑상선 종괴</v>
      </c>
      <c r="D2224" s="1" t="s">
        <v>648</v>
      </c>
      <c r="E2224" s="1" t="str">
        <f t="shared" si="650"/>
        <v>WOK02</v>
      </c>
      <c r="F2224" s="1" t="str">
        <f>""</f>
        <v/>
      </c>
      <c r="G2224" s="1" t="str">
        <f>""</f>
        <v/>
      </c>
      <c r="H2224" s="1" t="str">
        <f t="shared" si="651"/>
        <v>REL23</v>
      </c>
      <c r="I2224" s="1" t="str">
        <f>""</f>
        <v/>
      </c>
      <c r="J2224" s="1" t="str">
        <f>""</f>
        <v/>
      </c>
      <c r="K2224" s="1" t="str">
        <f>""</f>
        <v/>
      </c>
      <c r="L2224" s="1" t="str">
        <f t="shared" si="642"/>
        <v>R</v>
      </c>
      <c r="M2224" s="1" t="str">
        <f>""</f>
        <v/>
      </c>
      <c r="N2224" s="1" t="str">
        <f t="shared" si="643"/>
        <v>Y</v>
      </c>
      <c r="O2224" s="1" t="str">
        <f t="shared" si="647"/>
        <v>Y</v>
      </c>
      <c r="P2224" s="1" t="str">
        <f t="shared" si="645"/>
        <v>Y</v>
      </c>
      <c r="Q2224" s="1" t="str">
        <f t="shared" si="649"/>
        <v>A</v>
      </c>
    </row>
    <row r="2225" spans="1:17" x14ac:dyDescent="0.3">
      <c r="A2225" s="1" t="str">
        <f t="shared" si="641"/>
        <v>ZC</v>
      </c>
      <c r="B2225" s="1" t="str">
        <f>"J0398"</f>
        <v>J0398</v>
      </c>
      <c r="C2225" s="1" t="str">
        <f>"우측 갑상선 종괴"</f>
        <v>우측 갑상선 종괴</v>
      </c>
      <c r="D2225" s="1" t="str">
        <f>"갑상선 초음파 검사에서 갑상선의 우엽에 종괴 소견입니다. 내분비내과 진료후 정확한 진단 및 적절한 관리를 받으십시오."</f>
        <v>갑상선 초음파 검사에서 갑상선의 우엽에 종괴 소견입니다. 내분비내과 진료후 정확한 진단 및 적절한 관리를 받으십시오.</v>
      </c>
      <c r="E2225" s="1" t="str">
        <f t="shared" si="650"/>
        <v>WOK02</v>
      </c>
      <c r="F2225" s="1" t="str">
        <f>""</f>
        <v/>
      </c>
      <c r="G2225" s="1" t="str">
        <f>""</f>
        <v/>
      </c>
      <c r="H2225" s="1" t="str">
        <f t="shared" si="651"/>
        <v>REL23</v>
      </c>
      <c r="I2225" s="1" t="str">
        <f>""</f>
        <v/>
      </c>
      <c r="J2225" s="1" t="str">
        <f>""</f>
        <v/>
      </c>
      <c r="K2225" s="1" t="str">
        <f>""</f>
        <v/>
      </c>
      <c r="L2225" s="1" t="str">
        <f t="shared" si="642"/>
        <v>R</v>
      </c>
      <c r="M2225" s="1" t="str">
        <f>""</f>
        <v/>
      </c>
      <c r="N2225" s="1" t="str">
        <f t="shared" si="643"/>
        <v>Y</v>
      </c>
      <c r="O2225" s="1" t="str">
        <f t="shared" si="647"/>
        <v>Y</v>
      </c>
      <c r="P2225" s="1" t="str">
        <f t="shared" si="645"/>
        <v>Y</v>
      </c>
      <c r="Q2225" s="1" t="str">
        <f t="shared" si="649"/>
        <v>A</v>
      </c>
    </row>
    <row r="2226" spans="1:17" x14ac:dyDescent="0.3">
      <c r="A2226" s="1" t="str">
        <f t="shared" si="641"/>
        <v>ZC</v>
      </c>
      <c r="B2226" s="1" t="str">
        <f>"J0399"</f>
        <v>J0399</v>
      </c>
      <c r="C2226" s="1" t="str">
        <f>"좌측 갑상선 종괴"</f>
        <v>좌측 갑상선 종괴</v>
      </c>
      <c r="D2226" s="1" t="str">
        <f>"갑상선 초음파 검사에서 갑상선의 좌엽에 종괴 소견입니다. 내분비내과 진료후 정확한 진단 및 적절한 관리를 받으십시오."</f>
        <v>갑상선 초음파 검사에서 갑상선의 좌엽에 종괴 소견입니다. 내분비내과 진료후 정확한 진단 및 적절한 관리를 받으십시오.</v>
      </c>
      <c r="E2226" s="1" t="str">
        <f t="shared" si="650"/>
        <v>WOK02</v>
      </c>
      <c r="F2226" s="1" t="str">
        <f>""</f>
        <v/>
      </c>
      <c r="G2226" s="1" t="str">
        <f>""</f>
        <v/>
      </c>
      <c r="H2226" s="1" t="str">
        <f t="shared" si="651"/>
        <v>REL23</v>
      </c>
      <c r="I2226" s="1" t="str">
        <f>""</f>
        <v/>
      </c>
      <c r="J2226" s="1" t="str">
        <f>""</f>
        <v/>
      </c>
      <c r="K2226" s="1" t="str">
        <f>""</f>
        <v/>
      </c>
      <c r="L2226" s="1" t="str">
        <f t="shared" si="642"/>
        <v>R</v>
      </c>
      <c r="M2226" s="1" t="str">
        <f>""</f>
        <v/>
      </c>
      <c r="N2226" s="1" t="str">
        <f t="shared" si="643"/>
        <v>Y</v>
      </c>
      <c r="O2226" s="1" t="str">
        <f t="shared" si="647"/>
        <v>Y</v>
      </c>
      <c r="P2226" s="1" t="str">
        <f t="shared" si="645"/>
        <v>Y</v>
      </c>
      <c r="Q2226" s="1" t="str">
        <f t="shared" si="649"/>
        <v>A</v>
      </c>
    </row>
    <row r="2227" spans="1:17" x14ac:dyDescent="0.3">
      <c r="A2227" s="1" t="str">
        <f t="shared" si="641"/>
        <v>ZC</v>
      </c>
      <c r="B2227" s="1" t="str">
        <f>"J0400"</f>
        <v>J0400</v>
      </c>
      <c r="C2227" s="1" t="str">
        <f>"갑상선 조직 검사 요함"</f>
        <v>갑상선 조직 검사 요함</v>
      </c>
      <c r="D2227" s="1" t="str">
        <f>"갑상선 초음파 검사에서 갑상선에 병변 소견이 있습니다. 내분비내과 진료후 정확한진단을 위해 조직검사를 받으세요."</f>
        <v>갑상선 초음파 검사에서 갑상선에 병변 소견이 있습니다. 내분비내과 진료후 정확한진단을 위해 조직검사를 받으세요.</v>
      </c>
      <c r="E2227" s="1" t="str">
        <f t="shared" si="650"/>
        <v>WOK02</v>
      </c>
      <c r="F2227" s="1" t="str">
        <f>""</f>
        <v/>
      </c>
      <c r="G2227" s="1" t="str">
        <f>""</f>
        <v/>
      </c>
      <c r="H2227" s="1" t="str">
        <f t="shared" si="651"/>
        <v>REL23</v>
      </c>
      <c r="I2227" s="1" t="str">
        <f>""</f>
        <v/>
      </c>
      <c r="J2227" s="1" t="str">
        <f>""</f>
        <v/>
      </c>
      <c r="K2227" s="1" t="str">
        <f>""</f>
        <v/>
      </c>
      <c r="L2227" s="1" t="str">
        <f t="shared" si="642"/>
        <v>R</v>
      </c>
      <c r="M2227" s="1" t="str">
        <f>""</f>
        <v/>
      </c>
      <c r="N2227" s="1" t="str">
        <f t="shared" si="643"/>
        <v>Y</v>
      </c>
      <c r="O2227" s="1" t="str">
        <f t="shared" si="647"/>
        <v>Y</v>
      </c>
      <c r="P2227" s="1" t="str">
        <f t="shared" si="645"/>
        <v>Y</v>
      </c>
      <c r="Q2227" s="1" t="str">
        <f t="shared" si="649"/>
        <v>A</v>
      </c>
    </row>
    <row r="2228" spans="1:17" x14ac:dyDescent="0.3">
      <c r="A2228" s="1" t="str">
        <f t="shared" si="641"/>
        <v>ZC</v>
      </c>
      <c r="B2228" s="1" t="str">
        <f>"J0401"</f>
        <v>J0401</v>
      </c>
      <c r="C2228" s="1" t="str">
        <f>"갑상선암 의심"</f>
        <v>갑상선암 의심</v>
      </c>
      <c r="D2228" s="1" t="str">
        <f>"갑상선 초음파 검사에서 갑상선암 의심 소견입니다. 빠른시일내에 의료기관에 방문하시여 내분비내과 진료후 정확한 진단 및 적절한 치료를 받으십시오."</f>
        <v>갑상선 초음파 검사에서 갑상선암 의심 소견입니다. 빠른시일내에 의료기관에 방문하시여 내분비내과 진료후 정확한 진단 및 적절한 치료를 받으십시오.</v>
      </c>
      <c r="E2228" s="1" t="str">
        <f>"WOK03"</f>
        <v>WOK03</v>
      </c>
      <c r="F2228" s="1" t="str">
        <f>""</f>
        <v/>
      </c>
      <c r="G2228" s="1" t="str">
        <f>""</f>
        <v/>
      </c>
      <c r="H2228" s="1" t="str">
        <f t="shared" si="651"/>
        <v>REL23</v>
      </c>
      <c r="I2228" s="1" t="str">
        <f>""</f>
        <v/>
      </c>
      <c r="J2228" s="1" t="str">
        <f>""</f>
        <v/>
      </c>
      <c r="K2228" s="1" t="str">
        <f>""</f>
        <v/>
      </c>
      <c r="L2228" s="1" t="str">
        <f t="shared" si="642"/>
        <v>R</v>
      </c>
      <c r="M2228" s="1" t="str">
        <f>""</f>
        <v/>
      </c>
      <c r="N2228" s="1" t="str">
        <f t="shared" si="643"/>
        <v>Y</v>
      </c>
      <c r="O2228" s="1" t="str">
        <f t="shared" si="647"/>
        <v>Y</v>
      </c>
      <c r="P2228" s="1" t="str">
        <f t="shared" si="645"/>
        <v>Y</v>
      </c>
      <c r="Q2228" s="1" t="str">
        <f t="shared" si="649"/>
        <v>A</v>
      </c>
    </row>
    <row r="2229" spans="1:17" x14ac:dyDescent="0.3">
      <c r="A2229" s="1" t="str">
        <f t="shared" si="641"/>
        <v>ZC</v>
      </c>
      <c r="B2229" s="1" t="str">
        <f>"J0411"</f>
        <v>J0411</v>
      </c>
      <c r="C2229" s="1" t="str">
        <f>"흉부 컴퓨터단층촬영 상 폐섬유화"</f>
        <v>흉부 컴퓨터단층촬영 상 폐섬유화</v>
      </c>
      <c r="D2229" s="1" t="str">
        <f>"흉부 컴퓨터단층촬영 검사에서 폐섬유화가 의심됩니다. 정확한 진단 및 치료를 위해 호흡기내과 진료를 받으세요."</f>
        <v>흉부 컴퓨터단층촬영 검사에서 폐섬유화가 의심됩니다. 정확한 진단 및 치료를 위해 호흡기내과 진료를 받으세요.</v>
      </c>
      <c r="E2229" s="1" t="str">
        <f>""</f>
        <v/>
      </c>
      <c r="F2229" s="1" t="str">
        <f>"PTM00"</f>
        <v>PTM00</v>
      </c>
      <c r="G2229" s="1" t="str">
        <f>"DISJ"</f>
        <v>DISJ</v>
      </c>
      <c r="H2229" s="1" t="str">
        <f>"REL02"</f>
        <v>REL02</v>
      </c>
      <c r="I2229" s="1" t="str">
        <f>""</f>
        <v/>
      </c>
      <c r="J2229" s="1" t="str">
        <f>""</f>
        <v/>
      </c>
      <c r="K2229" s="1" t="str">
        <f>""</f>
        <v/>
      </c>
      <c r="L2229" s="1" t="str">
        <f t="shared" si="642"/>
        <v>R</v>
      </c>
      <c r="M2229" s="1" t="str">
        <f>"T04"</f>
        <v>T04</v>
      </c>
      <c r="N2229" s="1" t="str">
        <f t="shared" si="643"/>
        <v>Y</v>
      </c>
      <c r="O2229" s="1" t="str">
        <f t="shared" si="647"/>
        <v>Y</v>
      </c>
      <c r="P2229" s="1" t="str">
        <f t="shared" si="645"/>
        <v>Y</v>
      </c>
      <c r="Q2229" s="1" t="str">
        <f t="shared" si="649"/>
        <v>A</v>
      </c>
    </row>
    <row r="2230" spans="1:17" x14ac:dyDescent="0.3">
      <c r="A2230" s="1" t="str">
        <f t="shared" si="641"/>
        <v>ZC</v>
      </c>
      <c r="B2230" s="1" t="str">
        <f>"J0412"</f>
        <v>J0412</v>
      </c>
      <c r="C2230" s="1" t="str">
        <f>"흉부 컴퓨터단층촬영 상 폐종괴"</f>
        <v>흉부 컴퓨터단층촬영 상 폐종괴</v>
      </c>
      <c r="D2230" s="1" t="str">
        <f>"흉부 컴퓨터단층촬영 검사에서 폐종괴가 의심 됩니다. 정확한 진단 및 치료를 위해 호흡기내과 진료를 받으세요."</f>
        <v>흉부 컴퓨터단층촬영 검사에서 폐종괴가 의심 됩니다. 정확한 진단 및 치료를 위해 호흡기내과 진료를 받으세요.</v>
      </c>
      <c r="E2230" s="1" t="str">
        <f>""</f>
        <v/>
      </c>
      <c r="F2230" s="1" t="str">
        <f>"PTM00"</f>
        <v>PTM00</v>
      </c>
      <c r="G2230" s="1" t="str">
        <f>"DISJ"</f>
        <v>DISJ</v>
      </c>
      <c r="H2230" s="1" t="str">
        <f>"REL02"</f>
        <v>REL02</v>
      </c>
      <c r="I2230" s="1" t="str">
        <f>""</f>
        <v/>
      </c>
      <c r="J2230" s="1" t="str">
        <f>""</f>
        <v/>
      </c>
      <c r="K2230" s="1" t="str">
        <f>""</f>
        <v/>
      </c>
      <c r="L2230" s="1" t="str">
        <f t="shared" si="642"/>
        <v>R</v>
      </c>
      <c r="M2230" s="1" t="str">
        <f>"T04"</f>
        <v>T04</v>
      </c>
      <c r="N2230" s="1" t="str">
        <f t="shared" si="643"/>
        <v>Y</v>
      </c>
      <c r="O2230" s="1" t="str">
        <f t="shared" si="647"/>
        <v>Y</v>
      </c>
      <c r="P2230" s="1" t="str">
        <f t="shared" si="645"/>
        <v>Y</v>
      </c>
      <c r="Q2230" s="1" t="str">
        <f t="shared" si="649"/>
        <v>A</v>
      </c>
    </row>
    <row r="2231" spans="1:17" x14ac:dyDescent="0.3">
      <c r="A2231" s="1" t="str">
        <f t="shared" si="641"/>
        <v>ZC</v>
      </c>
      <c r="B2231" s="1" t="str">
        <f>"J0422"</f>
        <v>J0422</v>
      </c>
      <c r="C2231" s="1" t="str">
        <f>"척추측만증"</f>
        <v>척추측만증</v>
      </c>
      <c r="D2231" s="1" t="str">
        <f>"자세를 바르게 하시고 스트레칭도 수시로 하세요."</f>
        <v>자세를 바르게 하시고 스트레칭도 수시로 하세요.</v>
      </c>
      <c r="E2231" s="1" t="str">
        <f>""</f>
        <v/>
      </c>
      <c r="F2231" s="1" t="str">
        <f>"PTM01"</f>
        <v>PTM01</v>
      </c>
      <c r="G2231" s="1" t="str">
        <f>"DISM"</f>
        <v>DISM</v>
      </c>
      <c r="H2231" s="1" t="str">
        <f>"REL22"</f>
        <v>REL22</v>
      </c>
      <c r="I2231" s="1" t="str">
        <f>""</f>
        <v/>
      </c>
      <c r="J2231" s="1" t="str">
        <f>""</f>
        <v/>
      </c>
      <c r="K2231" s="1" t="str">
        <f>""</f>
        <v/>
      </c>
      <c r="L2231" s="1" t="str">
        <f t="shared" si="642"/>
        <v>R</v>
      </c>
      <c r="M2231" s="1" t="str">
        <f>""</f>
        <v/>
      </c>
      <c r="N2231" s="1" t="str">
        <f t="shared" si="643"/>
        <v>Y</v>
      </c>
      <c r="O2231" s="1" t="str">
        <f t="shared" si="647"/>
        <v>Y</v>
      </c>
      <c r="P2231" s="1" t="str">
        <f t="shared" si="645"/>
        <v>Y</v>
      </c>
      <c r="Q2231" s="1" t="str">
        <f t="shared" si="649"/>
        <v>A</v>
      </c>
    </row>
    <row r="2232" spans="1:17" x14ac:dyDescent="0.3">
      <c r="A2232" s="1" t="str">
        <f t="shared" ref="A2232:A2295" si="652">"ZC"</f>
        <v>ZC</v>
      </c>
      <c r="B2232" s="1" t="str">
        <f>"J0423"</f>
        <v>J0423</v>
      </c>
      <c r="C2232" s="1" t="str">
        <f>"추간판탈출증 의심"</f>
        <v>추간판탈출증 의심</v>
      </c>
      <c r="D2232" s="1" t="s">
        <v>649</v>
      </c>
      <c r="E2232" s="1" t="str">
        <f>""</f>
        <v/>
      </c>
      <c r="F2232" s="1" t="str">
        <f>""</f>
        <v/>
      </c>
      <c r="G2232" s="1" t="str">
        <f>""</f>
        <v/>
      </c>
      <c r="H2232" s="1" t="str">
        <f>""</f>
        <v/>
      </c>
      <c r="I2232" s="1" t="str">
        <f>""</f>
        <v/>
      </c>
      <c r="J2232" s="1" t="str">
        <f>""</f>
        <v/>
      </c>
      <c r="K2232" s="1" t="str">
        <f>""</f>
        <v/>
      </c>
      <c r="L2232" s="1" t="str">
        <f t="shared" ref="L2232:L2295" si="653">"R"</f>
        <v>R</v>
      </c>
      <c r="M2232" s="1" t="str">
        <f>""</f>
        <v/>
      </c>
      <c r="N2232" s="1" t="str">
        <f t="shared" ref="N2232:N2295" si="654">"Y"</f>
        <v>Y</v>
      </c>
      <c r="O2232" s="1" t="str">
        <f t="shared" si="647"/>
        <v>Y</v>
      </c>
      <c r="P2232" s="1" t="str">
        <f t="shared" si="645"/>
        <v>Y</v>
      </c>
      <c r="Q2232" s="1" t="str">
        <f t="shared" si="649"/>
        <v>A</v>
      </c>
    </row>
    <row r="2233" spans="1:17" x14ac:dyDescent="0.3">
      <c r="A2233" s="1" t="str">
        <f t="shared" si="652"/>
        <v>ZC</v>
      </c>
      <c r="B2233" s="1" t="str">
        <f>"J0424"</f>
        <v>J0424</v>
      </c>
      <c r="C2233" s="1" t="str">
        <f>"갑상선호르몬(T3) 증가"</f>
        <v>갑상선호르몬(T3) 증가</v>
      </c>
      <c r="D2233" s="1" t="s">
        <v>650</v>
      </c>
      <c r="E2233" s="1" t="str">
        <f>""</f>
        <v/>
      </c>
      <c r="F2233" s="1" t="str">
        <f>""</f>
        <v/>
      </c>
      <c r="G2233" s="1" t="str">
        <f>""</f>
        <v/>
      </c>
      <c r="H2233" s="1" t="str">
        <f>""</f>
        <v/>
      </c>
      <c r="I2233" s="1" t="str">
        <f>""</f>
        <v/>
      </c>
      <c r="J2233" s="1" t="str">
        <f>""</f>
        <v/>
      </c>
      <c r="K2233" s="1" t="str">
        <f>""</f>
        <v/>
      </c>
      <c r="L2233" s="1" t="str">
        <f t="shared" si="653"/>
        <v>R</v>
      </c>
      <c r="M2233" s="1" t="str">
        <f>""</f>
        <v/>
      </c>
      <c r="N2233" s="1" t="str">
        <f t="shared" si="654"/>
        <v>Y</v>
      </c>
      <c r="O2233" s="1" t="str">
        <f t="shared" si="647"/>
        <v>Y</v>
      </c>
      <c r="P2233" s="1" t="str">
        <f t="shared" si="645"/>
        <v>Y</v>
      </c>
      <c r="Q2233" s="1" t="str">
        <f t="shared" si="649"/>
        <v>A</v>
      </c>
    </row>
    <row r="2234" spans="1:17" x14ac:dyDescent="0.3">
      <c r="A2234" s="1" t="str">
        <f t="shared" si="652"/>
        <v>ZC</v>
      </c>
      <c r="B2234" s="1" t="str">
        <f>"J0425"</f>
        <v>J0425</v>
      </c>
      <c r="C2234" s="1" t="str">
        <f>"갑상선호르몬(T3) 감소"</f>
        <v>갑상선호르몬(T3) 감소</v>
      </c>
      <c r="D2234" s="1" t="str">
        <f>"갑상선호르몬이 정상범위보다 감소하였습니다. 갑상선자극호르몬이 동반 상승되어 있을 경우 갑상선기능저하증에 대한 정밀검사 받으시기 바랍니다."</f>
        <v>갑상선호르몬이 정상범위보다 감소하였습니다. 갑상선자극호르몬이 동반 상승되어 있을 경우 갑상선기능저하증에 대한 정밀검사 받으시기 바랍니다.</v>
      </c>
      <c r="E2234" s="1" t="str">
        <f>""</f>
        <v/>
      </c>
      <c r="F2234" s="1" t="str">
        <f>""</f>
        <v/>
      </c>
      <c r="G2234" s="1" t="str">
        <f>""</f>
        <v/>
      </c>
      <c r="H2234" s="1" t="str">
        <f>""</f>
        <v/>
      </c>
      <c r="I2234" s="1" t="str">
        <f>""</f>
        <v/>
      </c>
      <c r="J2234" s="1" t="str">
        <f>""</f>
        <v/>
      </c>
      <c r="K2234" s="1" t="str">
        <f>""</f>
        <v/>
      </c>
      <c r="L2234" s="1" t="str">
        <f t="shared" si="653"/>
        <v>R</v>
      </c>
      <c r="M2234" s="1" t="str">
        <f>""</f>
        <v/>
      </c>
      <c r="N2234" s="1" t="str">
        <f t="shared" si="654"/>
        <v>Y</v>
      </c>
      <c r="O2234" s="1" t="str">
        <f t="shared" si="647"/>
        <v>Y</v>
      </c>
      <c r="P2234" s="1" t="str">
        <f t="shared" si="645"/>
        <v>Y</v>
      </c>
      <c r="Q2234" s="1" t="str">
        <f t="shared" si="649"/>
        <v>A</v>
      </c>
    </row>
    <row r="2235" spans="1:17" x14ac:dyDescent="0.3">
      <c r="A2235" s="1" t="str">
        <f t="shared" si="652"/>
        <v>ZC</v>
      </c>
      <c r="B2235" s="1" t="str">
        <f>"J0427"</f>
        <v>J0427</v>
      </c>
      <c r="C2235" s="1" t="s">
        <v>651</v>
      </c>
      <c r="D2235" s="1" t="s">
        <v>652</v>
      </c>
      <c r="E2235" s="1" t="str">
        <f>""</f>
        <v/>
      </c>
      <c r="F2235" s="1" t="str">
        <f>""</f>
        <v/>
      </c>
      <c r="G2235" s="1" t="str">
        <f>""</f>
        <v/>
      </c>
      <c r="H2235" s="1" t="str">
        <f>""</f>
        <v/>
      </c>
      <c r="I2235" s="1" t="str">
        <f>""</f>
        <v/>
      </c>
      <c r="J2235" s="1" t="str">
        <f>""</f>
        <v/>
      </c>
      <c r="K2235" s="1" t="str">
        <f>""</f>
        <v/>
      </c>
      <c r="L2235" s="1" t="str">
        <f t="shared" si="653"/>
        <v>R</v>
      </c>
      <c r="M2235" s="1" t="str">
        <f>""</f>
        <v/>
      </c>
      <c r="N2235" s="1" t="str">
        <f t="shared" si="654"/>
        <v>Y</v>
      </c>
      <c r="O2235" s="1" t="str">
        <f t="shared" si="647"/>
        <v>Y</v>
      </c>
      <c r="P2235" s="1" t="str">
        <f t="shared" si="645"/>
        <v>Y</v>
      </c>
      <c r="Q2235" s="1" t="str">
        <f t="shared" si="649"/>
        <v>A</v>
      </c>
    </row>
    <row r="2236" spans="1:17" x14ac:dyDescent="0.3">
      <c r="A2236" s="1" t="str">
        <f t="shared" si="652"/>
        <v>ZC</v>
      </c>
      <c r="B2236" s="1" t="str">
        <f>"J0428"</f>
        <v>J0428</v>
      </c>
      <c r="C2236" s="1" t="str">
        <f>"위점막하종양"</f>
        <v>위점막하종양</v>
      </c>
      <c r="D2236" s="1" t="s">
        <v>653</v>
      </c>
      <c r="E2236" s="1" t="str">
        <f>""</f>
        <v/>
      </c>
      <c r="F2236" s="1" t="str">
        <f>""</f>
        <v/>
      </c>
      <c r="G2236" s="1" t="str">
        <f>""</f>
        <v/>
      </c>
      <c r="H2236" s="1" t="str">
        <f>""</f>
        <v/>
      </c>
      <c r="I2236" s="1" t="str">
        <f>""</f>
        <v/>
      </c>
      <c r="J2236" s="1" t="str">
        <f>""</f>
        <v/>
      </c>
      <c r="K2236" s="1" t="str">
        <f>""</f>
        <v/>
      </c>
      <c r="L2236" s="1" t="str">
        <f t="shared" si="653"/>
        <v>R</v>
      </c>
      <c r="M2236" s="1" t="str">
        <f>""</f>
        <v/>
      </c>
      <c r="N2236" s="1" t="str">
        <f t="shared" si="654"/>
        <v>Y</v>
      </c>
      <c r="O2236" s="1" t="str">
        <f t="shared" si="647"/>
        <v>Y</v>
      </c>
      <c r="P2236" s="1" t="str">
        <f t="shared" si="645"/>
        <v>Y</v>
      </c>
      <c r="Q2236" s="1" t="str">
        <f t="shared" si="649"/>
        <v>A</v>
      </c>
    </row>
    <row r="2237" spans="1:17" x14ac:dyDescent="0.3">
      <c r="A2237" s="1" t="str">
        <f t="shared" si="652"/>
        <v>ZC</v>
      </c>
      <c r="B2237" s="1" t="str">
        <f>"J0429"</f>
        <v>J0429</v>
      </c>
      <c r="C2237" s="1" t="s">
        <v>654</v>
      </c>
      <c r="D2237" s="1" t="s">
        <v>655</v>
      </c>
      <c r="E2237" s="1" t="str">
        <f>""</f>
        <v/>
      </c>
      <c r="F2237" s="1" t="str">
        <f>""</f>
        <v/>
      </c>
      <c r="G2237" s="1" t="str">
        <f>""</f>
        <v/>
      </c>
      <c r="H2237" s="1" t="str">
        <f>""</f>
        <v/>
      </c>
      <c r="I2237" s="1" t="str">
        <f>""</f>
        <v/>
      </c>
      <c r="J2237" s="1" t="str">
        <f>""</f>
        <v/>
      </c>
      <c r="K2237" s="1" t="str">
        <f>""</f>
        <v/>
      </c>
      <c r="L2237" s="1" t="str">
        <f t="shared" si="653"/>
        <v>R</v>
      </c>
      <c r="M2237" s="1" t="str">
        <f>""</f>
        <v/>
      </c>
      <c r="N2237" s="1" t="str">
        <f t="shared" si="654"/>
        <v>Y</v>
      </c>
      <c r="O2237" s="1" t="str">
        <f t="shared" si="647"/>
        <v>Y</v>
      </c>
      <c r="P2237" s="1" t="str">
        <f t="shared" si="645"/>
        <v>Y</v>
      </c>
      <c r="Q2237" s="1" t="str">
        <f t="shared" si="649"/>
        <v>A</v>
      </c>
    </row>
    <row r="2238" spans="1:17" x14ac:dyDescent="0.3">
      <c r="A2238" s="1" t="str">
        <f t="shared" si="652"/>
        <v>ZC</v>
      </c>
      <c r="B2238" s="1" t="str">
        <f>"J0430"</f>
        <v>J0430</v>
      </c>
      <c r="C2238" s="1" t="str">
        <f>"장상피화생"</f>
        <v>장상피화생</v>
      </c>
      <c r="D2238" s="1" t="str">
        <f>"위내시경검사에서 장상피화생이 관찰됩니다. 장상피화생은 위염이 진행되어 위점막이 울퉁불퉁하게 장점막화되는 상태입니다. 장상피화생이 있는 경우 위암발생 가능성이 증가할 수 있으므로 1년 후 정기적인 위내시경검사를 권합니다."</f>
        <v>위내시경검사에서 장상피화생이 관찰됩니다. 장상피화생은 위염이 진행되어 위점막이 울퉁불퉁하게 장점막화되는 상태입니다. 장상피화생이 있는 경우 위암발생 가능성이 증가할 수 있으므로 1년 후 정기적인 위내시경검사를 권합니다.</v>
      </c>
      <c r="E2238" s="1" t="str">
        <f>""</f>
        <v/>
      </c>
      <c r="F2238" s="1" t="str">
        <f>""</f>
        <v/>
      </c>
      <c r="G2238" s="1" t="str">
        <f>""</f>
        <v/>
      </c>
      <c r="H2238" s="1" t="str">
        <f>""</f>
        <v/>
      </c>
      <c r="I2238" s="1" t="str">
        <f>""</f>
        <v/>
      </c>
      <c r="J2238" s="1" t="str">
        <f>""</f>
        <v/>
      </c>
      <c r="K2238" s="1" t="str">
        <f>""</f>
        <v/>
      </c>
      <c r="L2238" s="1" t="str">
        <f t="shared" si="653"/>
        <v>R</v>
      </c>
      <c r="M2238" s="1" t="str">
        <f>""</f>
        <v/>
      </c>
      <c r="N2238" s="1" t="str">
        <f t="shared" si="654"/>
        <v>Y</v>
      </c>
      <c r="O2238" s="1" t="str">
        <f t="shared" si="647"/>
        <v>Y</v>
      </c>
      <c r="P2238" s="1" t="str">
        <f t="shared" si="645"/>
        <v>Y</v>
      </c>
      <c r="Q2238" s="1" t="str">
        <f t="shared" si="649"/>
        <v>A</v>
      </c>
    </row>
    <row r="2239" spans="1:17" x14ac:dyDescent="0.3">
      <c r="A2239" s="1" t="str">
        <f t="shared" si="652"/>
        <v>ZC</v>
      </c>
      <c r="B2239" s="1" t="str">
        <f>"J0431"</f>
        <v>J0431</v>
      </c>
      <c r="C2239" s="1" t="s">
        <v>656</v>
      </c>
      <c r="D2239" s="1" t="s">
        <v>657</v>
      </c>
      <c r="E2239" s="1" t="str">
        <f>""</f>
        <v/>
      </c>
      <c r="F2239" s="1" t="str">
        <f>""</f>
        <v/>
      </c>
      <c r="G2239" s="1" t="str">
        <f>""</f>
        <v/>
      </c>
      <c r="H2239" s="1" t="str">
        <f>""</f>
        <v/>
      </c>
      <c r="I2239" s="1" t="str">
        <f>""</f>
        <v/>
      </c>
      <c r="J2239" s="1" t="str">
        <f>""</f>
        <v/>
      </c>
      <c r="K2239" s="1" t="str">
        <f>""</f>
        <v/>
      </c>
      <c r="L2239" s="1" t="str">
        <f t="shared" si="653"/>
        <v>R</v>
      </c>
      <c r="M2239" s="1" t="str">
        <f>""</f>
        <v/>
      </c>
      <c r="N2239" s="1" t="str">
        <f t="shared" si="654"/>
        <v>Y</v>
      </c>
      <c r="O2239" s="1" t="str">
        <f t="shared" si="647"/>
        <v>Y</v>
      </c>
      <c r="P2239" s="1" t="str">
        <f t="shared" si="645"/>
        <v>Y</v>
      </c>
      <c r="Q2239" s="1" t="str">
        <f t="shared" si="649"/>
        <v>A</v>
      </c>
    </row>
    <row r="2240" spans="1:17" x14ac:dyDescent="0.3">
      <c r="A2240" s="1" t="str">
        <f t="shared" si="652"/>
        <v>ZC</v>
      </c>
      <c r="B2240" s="1" t="str">
        <f>"J0432"</f>
        <v>J0432</v>
      </c>
      <c r="C2240" s="1" t="s">
        <v>658</v>
      </c>
      <c r="D2240" s="1" t="str">
        <f>"일부 위염이 심한 부위에서 시행한 조직검사 결과 재생이형성이 있습니다. 재생이형성은 만성 염증과 재생과정에서 나타나는 세포변화이지만 추적관찰시 드물게 선종이나 위샘암종으로 발견되는 경우도 있습니다. 추적 내시경검사 받으시기 바랍니다."</f>
        <v>일부 위염이 심한 부위에서 시행한 조직검사 결과 재생이형성이 있습니다. 재생이형성은 만성 염증과 재생과정에서 나타나는 세포변화이지만 추적관찰시 드물게 선종이나 위샘암종으로 발견되는 경우도 있습니다. 추적 내시경검사 받으시기 바랍니다.</v>
      </c>
      <c r="E2240" s="1" t="str">
        <f>""</f>
        <v/>
      </c>
      <c r="F2240" s="1" t="str">
        <f>""</f>
        <v/>
      </c>
      <c r="G2240" s="1" t="str">
        <f>""</f>
        <v/>
      </c>
      <c r="H2240" s="1" t="str">
        <f>""</f>
        <v/>
      </c>
      <c r="I2240" s="1" t="str">
        <f>""</f>
        <v/>
      </c>
      <c r="J2240" s="1" t="str">
        <f>""</f>
        <v/>
      </c>
      <c r="K2240" s="1" t="str">
        <f>""</f>
        <v/>
      </c>
      <c r="L2240" s="1" t="str">
        <f t="shared" si="653"/>
        <v>R</v>
      </c>
      <c r="M2240" s="1" t="str">
        <f>""</f>
        <v/>
      </c>
      <c r="N2240" s="1" t="str">
        <f t="shared" si="654"/>
        <v>Y</v>
      </c>
      <c r="O2240" s="1" t="str">
        <f t="shared" si="647"/>
        <v>Y</v>
      </c>
      <c r="P2240" s="1" t="str">
        <f t="shared" si="645"/>
        <v>Y</v>
      </c>
      <c r="Q2240" s="1" t="str">
        <f t="shared" si="649"/>
        <v>A</v>
      </c>
    </row>
    <row r="2241" spans="1:17" x14ac:dyDescent="0.3">
      <c r="A2241" s="1" t="str">
        <f t="shared" si="652"/>
        <v>ZC</v>
      </c>
      <c r="B2241" s="1" t="str">
        <f>"J0433"</f>
        <v>J0433</v>
      </c>
      <c r="C2241" s="1" t="s">
        <v>659</v>
      </c>
      <c r="D2241" s="1" t="s">
        <v>660</v>
      </c>
      <c r="E2241" s="1" t="str">
        <f>""</f>
        <v/>
      </c>
      <c r="F2241" s="1" t="str">
        <f>""</f>
        <v/>
      </c>
      <c r="G2241" s="1" t="str">
        <f>""</f>
        <v/>
      </c>
      <c r="H2241" s="1" t="str">
        <f>""</f>
        <v/>
      </c>
      <c r="I2241" s="1" t="str">
        <f>""</f>
        <v/>
      </c>
      <c r="J2241" s="1" t="str">
        <f>""</f>
        <v/>
      </c>
      <c r="K2241" s="1" t="str">
        <f>""</f>
        <v/>
      </c>
      <c r="L2241" s="1" t="str">
        <f t="shared" si="653"/>
        <v>R</v>
      </c>
      <c r="M2241" s="1" t="str">
        <f>""</f>
        <v/>
      </c>
      <c r="N2241" s="1" t="str">
        <f t="shared" si="654"/>
        <v>Y</v>
      </c>
      <c r="O2241" s="1" t="str">
        <f t="shared" si="647"/>
        <v>Y</v>
      </c>
      <c r="P2241" s="1" t="str">
        <f t="shared" si="645"/>
        <v>Y</v>
      </c>
      <c r="Q2241" s="1" t="str">
        <f t="shared" si="649"/>
        <v>A</v>
      </c>
    </row>
    <row r="2242" spans="1:17" x14ac:dyDescent="0.3">
      <c r="A2242" s="1" t="str">
        <f t="shared" si="652"/>
        <v>ZC</v>
      </c>
      <c r="B2242" s="1" t="str">
        <f>"J0434"</f>
        <v>J0434</v>
      </c>
      <c r="C2242" s="1" t="s">
        <v>661</v>
      </c>
      <c r="D2242" s="1" t="str">
        <f>"위내시경검사에서 작은 용종이 관찰되었습니다. 용종은 위점막에서 혹처럼 튀어나와 자라난 것으로 조직검사를 하면서 제거되었습니다. 조직검사 결과 암과는 관련이 낮은 양성병변으로 확인되었습니다. 2 년 후 정기검사 받으시기 바랍니다."</f>
        <v>위내시경검사에서 작은 용종이 관찰되었습니다. 용종은 위점막에서 혹처럼 튀어나와 자라난 것으로 조직검사를 하면서 제거되었습니다. 조직검사 결과 암과는 관련이 낮은 양성병변으로 확인되었습니다. 2 년 후 정기검사 받으시기 바랍니다.</v>
      </c>
      <c r="E2242" s="1" t="str">
        <f>""</f>
        <v/>
      </c>
      <c r="F2242" s="1" t="str">
        <f>""</f>
        <v/>
      </c>
      <c r="G2242" s="1" t="str">
        <f>""</f>
        <v/>
      </c>
      <c r="H2242" s="1" t="str">
        <f>""</f>
        <v/>
      </c>
      <c r="I2242" s="1" t="str">
        <f>""</f>
        <v/>
      </c>
      <c r="J2242" s="1" t="str">
        <f>""</f>
        <v/>
      </c>
      <c r="K2242" s="1" t="str">
        <f>""</f>
        <v/>
      </c>
      <c r="L2242" s="1" t="str">
        <f t="shared" si="653"/>
        <v>R</v>
      </c>
      <c r="M2242" s="1" t="str">
        <f>""</f>
        <v/>
      </c>
      <c r="N2242" s="1" t="str">
        <f t="shared" si="654"/>
        <v>Y</v>
      </c>
      <c r="O2242" s="1" t="str">
        <f t="shared" si="647"/>
        <v>Y</v>
      </c>
      <c r="P2242" s="1" t="str">
        <f t="shared" si="645"/>
        <v>Y</v>
      </c>
      <c r="Q2242" s="1" t="str">
        <f t="shared" si="649"/>
        <v>A</v>
      </c>
    </row>
    <row r="2243" spans="1:17" x14ac:dyDescent="0.3">
      <c r="A2243" s="1" t="str">
        <f t="shared" si="652"/>
        <v>ZC</v>
      </c>
      <c r="B2243" s="1" t="str">
        <f>"J0435"</f>
        <v>J0435</v>
      </c>
      <c r="C2243" s="1" t="str">
        <f>"위용종(1cm이상 비교적 큰 용종)"</f>
        <v>위용종(1cm이상 비교적 큰 용종)</v>
      </c>
      <c r="D2243" s="1" t="s">
        <v>662</v>
      </c>
      <c r="E2243" s="1" t="str">
        <f>""</f>
        <v/>
      </c>
      <c r="F2243" s="1" t="str">
        <f>""</f>
        <v/>
      </c>
      <c r="G2243" s="1" t="str">
        <f>""</f>
        <v/>
      </c>
      <c r="H2243" s="1" t="str">
        <f>""</f>
        <v/>
      </c>
      <c r="I2243" s="1" t="str">
        <f>""</f>
        <v/>
      </c>
      <c r="J2243" s="1" t="str">
        <f>""</f>
        <v/>
      </c>
      <c r="K2243" s="1" t="str">
        <f>""</f>
        <v/>
      </c>
      <c r="L2243" s="1" t="str">
        <f t="shared" si="653"/>
        <v>R</v>
      </c>
      <c r="M2243" s="1" t="str">
        <f>""</f>
        <v/>
      </c>
      <c r="N2243" s="1" t="str">
        <f t="shared" si="654"/>
        <v>Y</v>
      </c>
      <c r="O2243" s="1" t="str">
        <f t="shared" si="647"/>
        <v>Y</v>
      </c>
      <c r="P2243" s="1" t="str">
        <f t="shared" si="645"/>
        <v>Y</v>
      </c>
      <c r="Q2243" s="1" t="str">
        <f t="shared" si="649"/>
        <v>A</v>
      </c>
    </row>
    <row r="2244" spans="1:17" x14ac:dyDescent="0.3">
      <c r="A2244" s="1" t="str">
        <f t="shared" si="652"/>
        <v>ZC</v>
      </c>
      <c r="B2244" s="1" t="str">
        <f>"J0436"</f>
        <v>J0436</v>
      </c>
      <c r="C2244" s="1" t="s">
        <v>663</v>
      </c>
      <c r="D2244" s="1" t="str">
        <f>"위내시경검사에서 용종이 관찰됩니다.  재생이형성은 만성 염증과 재생과정에서 나타나는 세포변화이지만 추적관찰시 드물게 선종이나 위샘암종으로 발견되는 경우도 있습니다. 추적 내시경 검사에 대한 진료 상담을 받으시기 바랍니다."</f>
        <v>위내시경검사에서 용종이 관찰됩니다.  재생이형성은 만성 염증과 재생과정에서 나타나는 세포변화이지만 추적관찰시 드물게 선종이나 위샘암종으로 발견되는 경우도 있습니다. 추적 내시경 검사에 대한 진료 상담을 받으시기 바랍니다.</v>
      </c>
      <c r="E2244" s="1" t="str">
        <f>""</f>
        <v/>
      </c>
      <c r="F2244" s="1" t="str">
        <f>""</f>
        <v/>
      </c>
      <c r="G2244" s="1" t="str">
        <f>""</f>
        <v/>
      </c>
      <c r="H2244" s="1" t="str">
        <f>""</f>
        <v/>
      </c>
      <c r="I2244" s="1" t="str">
        <f>""</f>
        <v/>
      </c>
      <c r="J2244" s="1" t="str">
        <f>""</f>
        <v/>
      </c>
      <c r="K2244" s="1" t="str">
        <f>""</f>
        <v/>
      </c>
      <c r="L2244" s="1" t="str">
        <f t="shared" si="653"/>
        <v>R</v>
      </c>
      <c r="M2244" s="1" t="str">
        <f>""</f>
        <v/>
      </c>
      <c r="N2244" s="1" t="str">
        <f t="shared" si="654"/>
        <v>Y</v>
      </c>
      <c r="O2244" s="1" t="str">
        <f t="shared" si="647"/>
        <v>Y</v>
      </c>
      <c r="P2244" s="1" t="str">
        <f t="shared" si="645"/>
        <v>Y</v>
      </c>
      <c r="Q2244" s="1" t="str">
        <f t="shared" si="649"/>
        <v>A</v>
      </c>
    </row>
    <row r="2245" spans="1:17" x14ac:dyDescent="0.3">
      <c r="A2245" s="1" t="str">
        <f t="shared" si="652"/>
        <v>ZC</v>
      </c>
      <c r="B2245" s="1" t="str">
        <f>"J0437"</f>
        <v>J0437</v>
      </c>
      <c r="C2245" s="1" t="s">
        <v>664</v>
      </c>
      <c r="D2245" s="1" t="str">
        <f>"위내시경검사에서 용종이 관찰됩니다. 조직검사에서 선종으로 확인되었습니다. 선종은 위점막에서 자라난 양성 종양이지만 악성화될 가능성이 있습니다. 내시경적 절제 또는 추적 검사가 필요하니 의료기관을 방문하여 진료 상담을 받으시기 바랍니다."</f>
        <v>위내시경검사에서 용종이 관찰됩니다. 조직검사에서 선종으로 확인되었습니다. 선종은 위점막에서 자라난 양성 종양이지만 악성화될 가능성이 있습니다. 내시경적 절제 또는 추적 검사가 필요하니 의료기관을 방문하여 진료 상담을 받으시기 바랍니다.</v>
      </c>
      <c r="E2245" s="1" t="str">
        <f>""</f>
        <v/>
      </c>
      <c r="F2245" s="1" t="str">
        <f>""</f>
        <v/>
      </c>
      <c r="G2245" s="1" t="str">
        <f>""</f>
        <v/>
      </c>
      <c r="H2245" s="1" t="str">
        <f>""</f>
        <v/>
      </c>
      <c r="I2245" s="1" t="str">
        <f>""</f>
        <v/>
      </c>
      <c r="J2245" s="1" t="str">
        <f>""</f>
        <v/>
      </c>
      <c r="K2245" s="1" t="str">
        <f>""</f>
        <v/>
      </c>
      <c r="L2245" s="1" t="str">
        <f t="shared" si="653"/>
        <v>R</v>
      </c>
      <c r="M2245" s="1" t="str">
        <f>""</f>
        <v/>
      </c>
      <c r="N2245" s="1" t="str">
        <f t="shared" si="654"/>
        <v>Y</v>
      </c>
      <c r="O2245" s="1" t="str">
        <f t="shared" si="647"/>
        <v>Y</v>
      </c>
      <c r="P2245" s="1" t="str">
        <f t="shared" si="645"/>
        <v>Y</v>
      </c>
      <c r="Q2245" s="1" t="str">
        <f t="shared" si="649"/>
        <v>A</v>
      </c>
    </row>
    <row r="2246" spans="1:17" x14ac:dyDescent="0.3">
      <c r="A2246" s="1" t="str">
        <f t="shared" si="652"/>
        <v>ZC</v>
      </c>
      <c r="B2246" s="1" t="str">
        <f>"J0438"</f>
        <v>J0438</v>
      </c>
      <c r="C2246" s="1" t="str">
        <f>"이상부위 조직검사상 선종"</f>
        <v>이상부위 조직검사상 선종</v>
      </c>
      <c r="D2246" s="1" t="str">
        <f>"위내시경검사에서 이상부위가 있어 시행한 조직검사에서 선종으로 확인되었습니다. 선종은 위점막에서 자라난 양성 종양이지만 악성화될 가능성이 있습니다. 내시경적 절제 또는 추적 검사가 필요하니 의료기관을 방문하여 진료 상담을 받으시기 바랍니다."</f>
        <v>위내시경검사에서 이상부위가 있어 시행한 조직검사에서 선종으로 확인되었습니다. 선종은 위점막에서 자라난 양성 종양이지만 악성화될 가능성이 있습니다. 내시경적 절제 또는 추적 검사가 필요하니 의료기관을 방문하여 진료 상담을 받으시기 바랍니다.</v>
      </c>
      <c r="E2246" s="1" t="str">
        <f>""</f>
        <v/>
      </c>
      <c r="F2246" s="1" t="str">
        <f>""</f>
        <v/>
      </c>
      <c r="G2246" s="1" t="str">
        <f>""</f>
        <v/>
      </c>
      <c r="H2246" s="1" t="str">
        <f>""</f>
        <v/>
      </c>
      <c r="I2246" s="1" t="str">
        <f>""</f>
        <v/>
      </c>
      <c r="J2246" s="1" t="str">
        <f>""</f>
        <v/>
      </c>
      <c r="K2246" s="1" t="str">
        <f>""</f>
        <v/>
      </c>
      <c r="L2246" s="1" t="str">
        <f t="shared" si="653"/>
        <v>R</v>
      </c>
      <c r="M2246" s="1" t="str">
        <f>""</f>
        <v/>
      </c>
      <c r="N2246" s="1" t="str">
        <f t="shared" si="654"/>
        <v>Y</v>
      </c>
      <c r="O2246" s="1" t="str">
        <f t="shared" si="647"/>
        <v>Y</v>
      </c>
      <c r="P2246" s="1" t="str">
        <f t="shared" si="645"/>
        <v>Y</v>
      </c>
      <c r="Q2246" s="1" t="str">
        <f t="shared" si="649"/>
        <v>A</v>
      </c>
    </row>
    <row r="2247" spans="1:17" x14ac:dyDescent="0.3">
      <c r="A2247" s="1" t="str">
        <f t="shared" si="652"/>
        <v>ZC</v>
      </c>
      <c r="B2247" s="1" t="str">
        <f>"J0439"</f>
        <v>J0439</v>
      </c>
      <c r="C2247" s="1" t="s">
        <v>665</v>
      </c>
      <c r="D2247" s="1" t="str">
        <f>"위내시경검사에서 이상부위가 발견되었으나 조직검사를 실시하지 못하였습니다. 추적 내시경 검사에 대해서 의료기관을 방문하여 진료 상담을 받으시기 바랍니다."</f>
        <v>위내시경검사에서 이상부위가 발견되었으나 조직검사를 실시하지 못하였습니다. 추적 내시경 검사에 대해서 의료기관을 방문하여 진료 상담을 받으시기 바랍니다.</v>
      </c>
      <c r="E2247" s="1" t="str">
        <f>""</f>
        <v/>
      </c>
      <c r="F2247" s="1" t="str">
        <f>""</f>
        <v/>
      </c>
      <c r="G2247" s="1" t="str">
        <f>""</f>
        <v/>
      </c>
      <c r="H2247" s="1" t="str">
        <f>""</f>
        <v/>
      </c>
      <c r="I2247" s="1" t="str">
        <f>""</f>
        <v/>
      </c>
      <c r="J2247" s="1" t="str">
        <f>""</f>
        <v/>
      </c>
      <c r="K2247" s="1" t="str">
        <f>""</f>
        <v/>
      </c>
      <c r="L2247" s="1" t="str">
        <f t="shared" si="653"/>
        <v>R</v>
      </c>
      <c r="M2247" s="1" t="str">
        <f>""</f>
        <v/>
      </c>
      <c r="N2247" s="1" t="str">
        <f t="shared" si="654"/>
        <v>Y</v>
      </c>
      <c r="O2247" s="1" t="str">
        <f t="shared" si="647"/>
        <v>Y</v>
      </c>
      <c r="P2247" s="1" t="str">
        <f t="shared" si="645"/>
        <v>Y</v>
      </c>
      <c r="Q2247" s="1" t="str">
        <f t="shared" si="649"/>
        <v>A</v>
      </c>
    </row>
    <row r="2248" spans="1:17" x14ac:dyDescent="0.3">
      <c r="A2248" s="1" t="str">
        <f t="shared" si="652"/>
        <v>ZC</v>
      </c>
      <c r="B2248" s="1" t="str">
        <f>"J0440"</f>
        <v>J0440</v>
      </c>
      <c r="C2248" s="1" t="str">
        <f>"크기가 작은 위점막하종양"</f>
        <v>크기가 작은 위점막하종양</v>
      </c>
      <c r="D2248" s="1" t="s">
        <v>666</v>
      </c>
      <c r="E2248" s="1" t="str">
        <f>""</f>
        <v/>
      </c>
      <c r="F2248" s="1" t="str">
        <f>""</f>
        <v/>
      </c>
      <c r="G2248" s="1" t="str">
        <f>""</f>
        <v/>
      </c>
      <c r="H2248" s="1" t="str">
        <f>""</f>
        <v/>
      </c>
      <c r="I2248" s="1" t="str">
        <f>""</f>
        <v/>
      </c>
      <c r="J2248" s="1" t="str">
        <f>""</f>
        <v/>
      </c>
      <c r="K2248" s="1" t="str">
        <f>""</f>
        <v/>
      </c>
      <c r="L2248" s="1" t="str">
        <f t="shared" si="653"/>
        <v>R</v>
      </c>
      <c r="M2248" s="1" t="str">
        <f>""</f>
        <v/>
      </c>
      <c r="N2248" s="1" t="str">
        <f t="shared" si="654"/>
        <v>Y</v>
      </c>
      <c r="O2248" s="1" t="str">
        <f t="shared" si="647"/>
        <v>Y</v>
      </c>
      <c r="P2248" s="1" t="str">
        <f t="shared" si="645"/>
        <v>Y</v>
      </c>
      <c r="Q2248" s="1" t="str">
        <f t="shared" si="649"/>
        <v>A</v>
      </c>
    </row>
    <row r="2249" spans="1:17" x14ac:dyDescent="0.3">
      <c r="A2249" s="1" t="str">
        <f t="shared" si="652"/>
        <v>ZC</v>
      </c>
      <c r="B2249" s="1" t="str">
        <f>"J0441"</f>
        <v>J0441</v>
      </c>
      <c r="C2249" s="1" t="str">
        <f>"크기가 큰 위점막하종양"</f>
        <v>크기가 큰 위점막하종양</v>
      </c>
      <c r="D2249" s="1" t="str">
        <f>"위내시경검사에서 위에 점막하종양이 있습니다. 점막하 종양은 종류에 따라 아무런 치료가 필요하지 않는 경우부터 수술적 절제가 필요한 경우까지 치료 방법이 매우 다양합니다. 의료기관을 방문하시어 진료 상담을 받으시기 바랍니다."</f>
        <v>위내시경검사에서 위에 점막하종양이 있습니다. 점막하 종양은 종류에 따라 아무런 치료가 필요하지 않는 경우부터 수술적 절제가 필요한 경우까지 치료 방법이 매우 다양합니다. 의료기관을 방문하시어 진료 상담을 받으시기 바랍니다.</v>
      </c>
      <c r="E2249" s="1" t="str">
        <f>""</f>
        <v/>
      </c>
      <c r="F2249" s="1" t="str">
        <f>""</f>
        <v/>
      </c>
      <c r="G2249" s="1" t="str">
        <f>""</f>
        <v/>
      </c>
      <c r="H2249" s="1" t="str">
        <f>""</f>
        <v/>
      </c>
      <c r="I2249" s="1" t="str">
        <f>""</f>
        <v/>
      </c>
      <c r="J2249" s="1" t="str">
        <f>""</f>
        <v/>
      </c>
      <c r="K2249" s="1" t="str">
        <f>""</f>
        <v/>
      </c>
      <c r="L2249" s="1" t="str">
        <f t="shared" si="653"/>
        <v>R</v>
      </c>
      <c r="M2249" s="1" t="str">
        <f>""</f>
        <v/>
      </c>
      <c r="N2249" s="1" t="str">
        <f t="shared" si="654"/>
        <v>Y</v>
      </c>
      <c r="O2249" s="1" t="str">
        <f t="shared" si="647"/>
        <v>Y</v>
      </c>
      <c r="P2249" s="1" t="str">
        <f t="shared" si="645"/>
        <v>Y</v>
      </c>
      <c r="Q2249" s="1" t="str">
        <f t="shared" si="649"/>
        <v>A</v>
      </c>
    </row>
    <row r="2250" spans="1:17" x14ac:dyDescent="0.3">
      <c r="A2250" s="1" t="str">
        <f t="shared" si="652"/>
        <v>ZC</v>
      </c>
      <c r="B2250" s="1" t="str">
        <f>"J0442"</f>
        <v>J0442</v>
      </c>
      <c r="C2250" s="1" t="s">
        <v>667</v>
      </c>
      <c r="D2250" s="1" t="s">
        <v>668</v>
      </c>
      <c r="E2250" s="1" t="str">
        <f>""</f>
        <v/>
      </c>
      <c r="F2250" s="1" t="str">
        <f>""</f>
        <v/>
      </c>
      <c r="G2250" s="1" t="str">
        <f>""</f>
        <v/>
      </c>
      <c r="H2250" s="1" t="str">
        <f>""</f>
        <v/>
      </c>
      <c r="I2250" s="1" t="str">
        <f>""</f>
        <v/>
      </c>
      <c r="J2250" s="1" t="str">
        <f>""</f>
        <v/>
      </c>
      <c r="K2250" s="1" t="str">
        <f>""</f>
        <v/>
      </c>
      <c r="L2250" s="1" t="str">
        <f t="shared" si="653"/>
        <v>R</v>
      </c>
      <c r="M2250" s="1" t="str">
        <f>""</f>
        <v/>
      </c>
      <c r="N2250" s="1" t="str">
        <f t="shared" si="654"/>
        <v>Y</v>
      </c>
      <c r="O2250" s="1" t="str">
        <f t="shared" si="647"/>
        <v>Y</v>
      </c>
      <c r="P2250" s="1" t="str">
        <f t="shared" ref="P2250:P2313" si="655">"Y"</f>
        <v>Y</v>
      </c>
      <c r="Q2250" s="1" t="str">
        <f t="shared" si="649"/>
        <v>A</v>
      </c>
    </row>
    <row r="2251" spans="1:17" x14ac:dyDescent="0.3">
      <c r="A2251" s="1" t="str">
        <f t="shared" si="652"/>
        <v>ZC</v>
      </c>
      <c r="B2251" s="1" t="str">
        <f>"J0443"</f>
        <v>J0443</v>
      </c>
      <c r="C2251" s="1" t="s">
        <v>669</v>
      </c>
      <c r="D2251" s="1" t="s">
        <v>670</v>
      </c>
      <c r="E2251" s="1" t="str">
        <f>""</f>
        <v/>
      </c>
      <c r="F2251" s="1" t="str">
        <f>""</f>
        <v/>
      </c>
      <c r="G2251" s="1" t="str">
        <f>""</f>
        <v/>
      </c>
      <c r="H2251" s="1" t="str">
        <f>""</f>
        <v/>
      </c>
      <c r="I2251" s="1" t="str">
        <f>""</f>
        <v/>
      </c>
      <c r="J2251" s="1" t="str">
        <f>""</f>
        <v/>
      </c>
      <c r="K2251" s="1" t="str">
        <f>""</f>
        <v/>
      </c>
      <c r="L2251" s="1" t="str">
        <f t="shared" si="653"/>
        <v>R</v>
      </c>
      <c r="M2251" s="1" t="str">
        <f>""</f>
        <v/>
      </c>
      <c r="N2251" s="1" t="str">
        <f t="shared" si="654"/>
        <v>Y</v>
      </c>
      <c r="O2251" s="1" t="str">
        <f t="shared" si="647"/>
        <v>Y</v>
      </c>
      <c r="P2251" s="1" t="str">
        <f t="shared" si="655"/>
        <v>Y</v>
      </c>
      <c r="Q2251" s="1" t="str">
        <f t="shared" si="649"/>
        <v>A</v>
      </c>
    </row>
    <row r="2252" spans="1:17" x14ac:dyDescent="0.3">
      <c r="A2252" s="1" t="str">
        <f t="shared" si="652"/>
        <v>ZC</v>
      </c>
      <c r="B2252" s="1" t="str">
        <f>"J0444"</f>
        <v>J0444</v>
      </c>
      <c r="C2252" s="1" t="s">
        <v>671</v>
      </c>
      <c r="D2252" s="1" t="str">
        <f>"위내시경검사에서 위궤양이 발견되었습니다. 조직 검사는 실시하지 못하였습니다. 치료 및 조직 검사가 필요하니 의료기관을 방문하여 진료 상담을 받으시기 바랍니다."</f>
        <v>위내시경검사에서 위궤양이 발견되었습니다. 조직 검사는 실시하지 못하였습니다. 치료 및 조직 검사가 필요하니 의료기관을 방문하여 진료 상담을 받으시기 바랍니다.</v>
      </c>
      <c r="E2252" s="1" t="str">
        <f>""</f>
        <v/>
      </c>
      <c r="F2252" s="1" t="str">
        <f>""</f>
        <v/>
      </c>
      <c r="G2252" s="1" t="str">
        <f>""</f>
        <v/>
      </c>
      <c r="H2252" s="1" t="str">
        <f>""</f>
        <v/>
      </c>
      <c r="I2252" s="1" t="str">
        <f>""</f>
        <v/>
      </c>
      <c r="J2252" s="1" t="str">
        <f>""</f>
        <v/>
      </c>
      <c r="K2252" s="1" t="str">
        <f>""</f>
        <v/>
      </c>
      <c r="L2252" s="1" t="str">
        <f t="shared" si="653"/>
        <v>R</v>
      </c>
      <c r="M2252" s="1" t="str">
        <f>""</f>
        <v/>
      </c>
      <c r="N2252" s="1" t="str">
        <f t="shared" si="654"/>
        <v>Y</v>
      </c>
      <c r="O2252" s="1" t="str">
        <f t="shared" si="647"/>
        <v>Y</v>
      </c>
      <c r="P2252" s="1" t="str">
        <f t="shared" si="655"/>
        <v>Y</v>
      </c>
      <c r="Q2252" s="1" t="str">
        <f t="shared" si="649"/>
        <v>A</v>
      </c>
    </row>
    <row r="2253" spans="1:17" x14ac:dyDescent="0.3">
      <c r="A2253" s="1" t="str">
        <f t="shared" si="652"/>
        <v>ZC</v>
      </c>
      <c r="B2253" s="1" t="str">
        <f>"J0445"</f>
        <v>J0445</v>
      </c>
      <c r="C2253" s="1" t="s">
        <v>672</v>
      </c>
      <c r="D2253" s="1" t="s">
        <v>668</v>
      </c>
      <c r="E2253" s="1" t="str">
        <f>""</f>
        <v/>
      </c>
      <c r="F2253" s="1" t="str">
        <f>""</f>
        <v/>
      </c>
      <c r="G2253" s="1" t="str">
        <f>""</f>
        <v/>
      </c>
      <c r="H2253" s="1" t="str">
        <f>""</f>
        <v/>
      </c>
      <c r="I2253" s="1" t="str">
        <f>""</f>
        <v/>
      </c>
      <c r="J2253" s="1" t="str">
        <f>""</f>
        <v/>
      </c>
      <c r="K2253" s="1" t="str">
        <f>""</f>
        <v/>
      </c>
      <c r="L2253" s="1" t="str">
        <f t="shared" si="653"/>
        <v>R</v>
      </c>
      <c r="M2253" s="1" t="str">
        <f>""</f>
        <v/>
      </c>
      <c r="N2253" s="1" t="str">
        <f t="shared" si="654"/>
        <v>Y</v>
      </c>
      <c r="O2253" s="1" t="str">
        <f t="shared" si="647"/>
        <v>Y</v>
      </c>
      <c r="P2253" s="1" t="str">
        <f t="shared" si="655"/>
        <v>Y</v>
      </c>
      <c r="Q2253" s="1" t="str">
        <f t="shared" si="649"/>
        <v>A</v>
      </c>
    </row>
    <row r="2254" spans="1:17" x14ac:dyDescent="0.3">
      <c r="A2254" s="1" t="str">
        <f t="shared" si="652"/>
        <v>ZC</v>
      </c>
      <c r="B2254" s="1" t="str">
        <f>"J0446"</f>
        <v>J0446</v>
      </c>
      <c r="C2254" s="1" t="s">
        <v>673</v>
      </c>
      <c r="D2254" s="1" t="s">
        <v>674</v>
      </c>
      <c r="E2254" s="1" t="str">
        <f>""</f>
        <v/>
      </c>
      <c r="F2254" s="1" t="str">
        <f>""</f>
        <v/>
      </c>
      <c r="G2254" s="1" t="str">
        <f>""</f>
        <v/>
      </c>
      <c r="H2254" s="1" t="str">
        <f>""</f>
        <v/>
      </c>
      <c r="I2254" s="1" t="str">
        <f>""</f>
        <v/>
      </c>
      <c r="J2254" s="1" t="str">
        <f>""</f>
        <v/>
      </c>
      <c r="K2254" s="1" t="str">
        <f>""</f>
        <v/>
      </c>
      <c r="L2254" s="1" t="str">
        <f t="shared" si="653"/>
        <v>R</v>
      </c>
      <c r="M2254" s="1" t="str">
        <f>""</f>
        <v/>
      </c>
      <c r="N2254" s="1" t="str">
        <f t="shared" si="654"/>
        <v>Y</v>
      </c>
      <c r="O2254" s="1" t="str">
        <f t="shared" si="647"/>
        <v>Y</v>
      </c>
      <c r="P2254" s="1" t="str">
        <f t="shared" si="655"/>
        <v>Y</v>
      </c>
      <c r="Q2254" s="1" t="str">
        <f t="shared" si="649"/>
        <v>A</v>
      </c>
    </row>
    <row r="2255" spans="1:17" x14ac:dyDescent="0.3">
      <c r="A2255" s="1" t="str">
        <f t="shared" si="652"/>
        <v>ZC</v>
      </c>
      <c r="B2255" s="1" t="str">
        <f>"J0447"</f>
        <v>J0447</v>
      </c>
      <c r="C2255" s="1" t="s">
        <v>675</v>
      </c>
      <c r="D2255" s="1" t="str">
        <f>"위내시경검사에서 용종이 관찰됩니다. 용종은 점막 벽에서 혹처럼 튀어나와 자라난 것으로 조직검사에서 고위험 선종으로 확인되었습니다. 고도 선종은 암으로 변할 가능성이 높습니다. 빠른 시일 내에 의료기관을 방문하여 치료에 대한 진료 상담을 받으시기 바랍니다."</f>
        <v>위내시경검사에서 용종이 관찰됩니다. 용종은 점막 벽에서 혹처럼 튀어나와 자라난 것으로 조직검사에서 고위험 선종으로 확인되었습니다. 고도 선종은 암으로 변할 가능성이 높습니다. 빠른 시일 내에 의료기관을 방문하여 치료에 대한 진료 상담을 받으시기 바랍니다.</v>
      </c>
      <c r="E2255" s="1" t="str">
        <f>""</f>
        <v/>
      </c>
      <c r="F2255" s="1" t="str">
        <f>""</f>
        <v/>
      </c>
      <c r="G2255" s="1" t="str">
        <f>""</f>
        <v/>
      </c>
      <c r="H2255" s="1" t="str">
        <f>""</f>
        <v/>
      </c>
      <c r="I2255" s="1" t="str">
        <f>""</f>
        <v/>
      </c>
      <c r="J2255" s="1" t="str">
        <f>""</f>
        <v/>
      </c>
      <c r="K2255" s="1" t="str">
        <f>""</f>
        <v/>
      </c>
      <c r="L2255" s="1" t="str">
        <f t="shared" si="653"/>
        <v>R</v>
      </c>
      <c r="M2255" s="1" t="str">
        <f>""</f>
        <v/>
      </c>
      <c r="N2255" s="1" t="str">
        <f t="shared" si="654"/>
        <v>Y</v>
      </c>
      <c r="O2255" s="1" t="str">
        <f t="shared" si="647"/>
        <v>Y</v>
      </c>
      <c r="P2255" s="1" t="str">
        <f t="shared" si="655"/>
        <v>Y</v>
      </c>
      <c r="Q2255" s="1" t="str">
        <f t="shared" si="649"/>
        <v>A</v>
      </c>
    </row>
    <row r="2256" spans="1:17" x14ac:dyDescent="0.3">
      <c r="A2256" s="1" t="str">
        <f t="shared" si="652"/>
        <v>ZC</v>
      </c>
      <c r="B2256" s="1" t="str">
        <f>"J0448"</f>
        <v>J0448</v>
      </c>
      <c r="C2256" s="1" t="s">
        <v>676</v>
      </c>
      <c r="D2256" s="1" t="str">
        <f>"위내시경검사에서 위암이 의심되어 조직검사를 시행하였으나 만성 염증 소견만 보입니다. 위암이더라도 조직검사부위에 따라 암세포가 나오지 않을 수 있어서 위내시경 및 조직 재검이 반드시 필요하니 의료기관을 방문하시어 진료 상담을 받으시기 바랍니다."</f>
        <v>위내시경검사에서 위암이 의심되어 조직검사를 시행하였으나 만성 염증 소견만 보입니다. 위암이더라도 조직검사부위에 따라 암세포가 나오지 않을 수 있어서 위내시경 및 조직 재검이 반드시 필요하니 의료기관을 방문하시어 진료 상담을 받으시기 바랍니다.</v>
      </c>
      <c r="E2256" s="1" t="str">
        <f>""</f>
        <v/>
      </c>
      <c r="F2256" s="1" t="str">
        <f>""</f>
        <v/>
      </c>
      <c r="G2256" s="1" t="str">
        <f>""</f>
        <v/>
      </c>
      <c r="H2256" s="1" t="str">
        <f>""</f>
        <v/>
      </c>
      <c r="I2256" s="1" t="str">
        <f>""</f>
        <v/>
      </c>
      <c r="J2256" s="1" t="str">
        <f>""</f>
        <v/>
      </c>
      <c r="K2256" s="1" t="str">
        <f>""</f>
        <v/>
      </c>
      <c r="L2256" s="1" t="str">
        <f t="shared" si="653"/>
        <v>R</v>
      </c>
      <c r="M2256" s="1" t="str">
        <f>""</f>
        <v/>
      </c>
      <c r="N2256" s="1" t="str">
        <f t="shared" si="654"/>
        <v>Y</v>
      </c>
      <c r="O2256" s="1" t="str">
        <f t="shared" ref="O2256:O2319" si="656">"Y"</f>
        <v>Y</v>
      </c>
      <c r="P2256" s="1" t="str">
        <f t="shared" si="655"/>
        <v>Y</v>
      </c>
      <c r="Q2256" s="1" t="str">
        <f t="shared" si="649"/>
        <v>A</v>
      </c>
    </row>
    <row r="2257" spans="1:17" x14ac:dyDescent="0.3">
      <c r="A2257" s="1" t="str">
        <f t="shared" si="652"/>
        <v>ZC</v>
      </c>
      <c r="B2257" s="1" t="str">
        <f>"J0449"</f>
        <v>J0449</v>
      </c>
      <c r="C2257" s="1" t="s">
        <v>677</v>
      </c>
      <c r="D2257" s="1" t="str">
        <f>"위내시경검사에서 위암이 의심되어 실시한 조직검사에서 비정형선세포가 나왔습니다. 비정형선세포가 있는 경우 암세포가 있을 가능성이 높으므로 위내시경 및 조직 재검이 반드시 필요합니다. 빠른 시일 내에 의료기관을 방문하시어 진료 상담을 받으시기 바랍니다."</f>
        <v>위내시경검사에서 위암이 의심되어 실시한 조직검사에서 비정형선세포가 나왔습니다. 비정형선세포가 있는 경우 암세포가 있을 가능성이 높으므로 위내시경 및 조직 재검이 반드시 필요합니다. 빠른 시일 내에 의료기관을 방문하시어 진료 상담을 받으시기 바랍니다.</v>
      </c>
      <c r="E2257" s="1" t="str">
        <f>""</f>
        <v/>
      </c>
      <c r="F2257" s="1" t="str">
        <f>""</f>
        <v/>
      </c>
      <c r="G2257" s="1" t="str">
        <f>""</f>
        <v/>
      </c>
      <c r="H2257" s="1" t="str">
        <f>""</f>
        <v/>
      </c>
      <c r="I2257" s="1" t="str">
        <f>""</f>
        <v/>
      </c>
      <c r="J2257" s="1" t="str">
        <f>""</f>
        <v/>
      </c>
      <c r="K2257" s="1" t="str">
        <f>""</f>
        <v/>
      </c>
      <c r="L2257" s="1" t="str">
        <f t="shared" si="653"/>
        <v>R</v>
      </c>
      <c r="M2257" s="1" t="str">
        <f>""</f>
        <v/>
      </c>
      <c r="N2257" s="1" t="str">
        <f t="shared" si="654"/>
        <v>Y</v>
      </c>
      <c r="O2257" s="1" t="str">
        <f t="shared" si="656"/>
        <v>Y</v>
      </c>
      <c r="P2257" s="1" t="str">
        <f t="shared" si="655"/>
        <v>Y</v>
      </c>
      <c r="Q2257" s="1" t="str">
        <f t="shared" si="649"/>
        <v>A</v>
      </c>
    </row>
    <row r="2258" spans="1:17" x14ac:dyDescent="0.3">
      <c r="A2258" s="1" t="str">
        <f t="shared" si="652"/>
        <v>ZC</v>
      </c>
      <c r="B2258" s="1" t="str">
        <f>"J0450"</f>
        <v>J0450</v>
      </c>
      <c r="C2258" s="1" t="str">
        <f>"위암의심 -&gt; 조직검사 미시행"</f>
        <v>위암의심 -&gt; 조직검사 미시행</v>
      </c>
      <c r="D2258" s="1" t="str">
        <f>"위내시경검사에서 위암이 의심되나 조직검사 시행하지 못하였습니다. 재검사가 반드시 필요하니 의료기관을 방문하시어 진료 상담을 받으시기 바랍니다."</f>
        <v>위내시경검사에서 위암이 의심되나 조직검사 시행하지 못하였습니다. 재검사가 반드시 필요하니 의료기관을 방문하시어 진료 상담을 받으시기 바랍니다.</v>
      </c>
      <c r="E2258" s="1" t="str">
        <f>""</f>
        <v/>
      </c>
      <c r="F2258" s="1" t="str">
        <f>""</f>
        <v/>
      </c>
      <c r="G2258" s="1" t="str">
        <f>""</f>
        <v/>
      </c>
      <c r="H2258" s="1" t="str">
        <f>""</f>
        <v/>
      </c>
      <c r="I2258" s="1" t="str">
        <f>""</f>
        <v/>
      </c>
      <c r="J2258" s="1" t="str">
        <f>""</f>
        <v/>
      </c>
      <c r="K2258" s="1" t="str">
        <f>""</f>
        <v/>
      </c>
      <c r="L2258" s="1" t="str">
        <f t="shared" si="653"/>
        <v>R</v>
      </c>
      <c r="M2258" s="1" t="str">
        <f>""</f>
        <v/>
      </c>
      <c r="N2258" s="1" t="str">
        <f t="shared" si="654"/>
        <v>Y</v>
      </c>
      <c r="O2258" s="1" t="str">
        <f t="shared" si="656"/>
        <v>Y</v>
      </c>
      <c r="P2258" s="1" t="str">
        <f t="shared" si="655"/>
        <v>Y</v>
      </c>
      <c r="Q2258" s="1" t="str">
        <f t="shared" si="649"/>
        <v>A</v>
      </c>
    </row>
    <row r="2259" spans="1:17" x14ac:dyDescent="0.3">
      <c r="A2259" s="1" t="str">
        <f t="shared" si="652"/>
        <v>ZC</v>
      </c>
      <c r="B2259" s="1" t="str">
        <f>"J0451"</f>
        <v>J0451</v>
      </c>
      <c r="C2259" s="1" t="str">
        <f>"위암"</f>
        <v>위암</v>
      </c>
      <c r="D2259" s="1" t="str">
        <f>"위내시경 및 조직검사에서 위암이 확인되었습니다. 치료를 위해 빠른 시일 내에 의료기관을 방문하시어 진료 상담을 받으시기 바랍니다."</f>
        <v>위내시경 및 조직검사에서 위암이 확인되었습니다. 치료를 위해 빠른 시일 내에 의료기관을 방문하시어 진료 상담을 받으시기 바랍니다.</v>
      </c>
      <c r="E2259" s="1" t="str">
        <f>""</f>
        <v/>
      </c>
      <c r="F2259" s="1" t="str">
        <f>""</f>
        <v/>
      </c>
      <c r="G2259" s="1" t="str">
        <f>""</f>
        <v/>
      </c>
      <c r="H2259" s="1" t="str">
        <f>""</f>
        <v/>
      </c>
      <c r="I2259" s="1" t="str">
        <f>""</f>
        <v/>
      </c>
      <c r="J2259" s="1" t="str">
        <f>""</f>
        <v/>
      </c>
      <c r="K2259" s="1" t="str">
        <f>""</f>
        <v/>
      </c>
      <c r="L2259" s="1" t="str">
        <f t="shared" si="653"/>
        <v>R</v>
      </c>
      <c r="M2259" s="1" t="str">
        <f>""</f>
        <v/>
      </c>
      <c r="N2259" s="1" t="str">
        <f t="shared" si="654"/>
        <v>Y</v>
      </c>
      <c r="O2259" s="1" t="str">
        <f t="shared" si="656"/>
        <v>Y</v>
      </c>
      <c r="P2259" s="1" t="str">
        <f t="shared" si="655"/>
        <v>Y</v>
      </c>
      <c r="Q2259" s="1" t="str">
        <f t="shared" si="649"/>
        <v>A</v>
      </c>
    </row>
    <row r="2260" spans="1:17" x14ac:dyDescent="0.3">
      <c r="A2260" s="1" t="str">
        <f t="shared" si="652"/>
        <v>ZC</v>
      </c>
      <c r="B2260" s="1" t="str">
        <f>"J0452"</f>
        <v>J0452</v>
      </c>
      <c r="C2260" s="1" t="str">
        <f>"식도의 편평세포 유두종"</f>
        <v>식도의 편평세포 유두종</v>
      </c>
      <c r="D2260" s="1" t="s">
        <v>678</v>
      </c>
      <c r="E2260" s="1" t="str">
        <f>""</f>
        <v/>
      </c>
      <c r="F2260" s="1" t="str">
        <f>""</f>
        <v/>
      </c>
      <c r="G2260" s="1" t="str">
        <f>""</f>
        <v/>
      </c>
      <c r="H2260" s="1" t="str">
        <f>""</f>
        <v/>
      </c>
      <c r="I2260" s="1" t="str">
        <f>""</f>
        <v/>
      </c>
      <c r="J2260" s="1" t="str">
        <f>""</f>
        <v/>
      </c>
      <c r="K2260" s="1" t="str">
        <f>""</f>
        <v/>
      </c>
      <c r="L2260" s="1" t="str">
        <f t="shared" si="653"/>
        <v>R</v>
      </c>
      <c r="M2260" s="1" t="str">
        <f>""</f>
        <v/>
      </c>
      <c r="N2260" s="1" t="str">
        <f t="shared" si="654"/>
        <v>Y</v>
      </c>
      <c r="O2260" s="1" t="str">
        <f t="shared" si="656"/>
        <v>Y</v>
      </c>
      <c r="P2260" s="1" t="str">
        <f t="shared" si="655"/>
        <v>Y</v>
      </c>
      <c r="Q2260" s="1" t="str">
        <f t="shared" si="649"/>
        <v>A</v>
      </c>
    </row>
    <row r="2261" spans="1:17" x14ac:dyDescent="0.3">
      <c r="A2261" s="1" t="str">
        <f t="shared" si="652"/>
        <v>ZC</v>
      </c>
      <c r="B2261" s="1" t="str">
        <f>"J0453"</f>
        <v>J0453</v>
      </c>
      <c r="C2261" s="1" t="s">
        <v>679</v>
      </c>
      <c r="D2261" s="1" t="s">
        <v>680</v>
      </c>
      <c r="E2261" s="1" t="str">
        <f>""</f>
        <v/>
      </c>
      <c r="F2261" s="1" t="str">
        <f>""</f>
        <v/>
      </c>
      <c r="G2261" s="1" t="str">
        <f>""</f>
        <v/>
      </c>
      <c r="H2261" s="1" t="str">
        <f>""</f>
        <v/>
      </c>
      <c r="I2261" s="1" t="str">
        <f>""</f>
        <v/>
      </c>
      <c r="J2261" s="1" t="str">
        <f>""</f>
        <v/>
      </c>
      <c r="K2261" s="1" t="str">
        <f>""</f>
        <v/>
      </c>
      <c r="L2261" s="1" t="str">
        <f t="shared" si="653"/>
        <v>R</v>
      </c>
      <c r="M2261" s="1" t="str">
        <f>""</f>
        <v/>
      </c>
      <c r="N2261" s="1" t="str">
        <f t="shared" si="654"/>
        <v>Y</v>
      </c>
      <c r="O2261" s="1" t="str">
        <f t="shared" si="656"/>
        <v>Y</v>
      </c>
      <c r="P2261" s="1" t="str">
        <f t="shared" si="655"/>
        <v>Y</v>
      </c>
      <c r="Q2261" s="1" t="str">
        <f t="shared" si="649"/>
        <v>A</v>
      </c>
    </row>
    <row r="2262" spans="1:17" x14ac:dyDescent="0.3">
      <c r="A2262" s="1" t="str">
        <f t="shared" si="652"/>
        <v>ZC</v>
      </c>
      <c r="B2262" s="1" t="str">
        <f>"J0454"</f>
        <v>J0454</v>
      </c>
      <c r="C2262" s="1" t="str">
        <f>"식도 정맥류"</f>
        <v>식도 정맥류</v>
      </c>
      <c r="D2262" s="1" t="s">
        <v>681</v>
      </c>
      <c r="E2262" s="1" t="str">
        <f>""</f>
        <v/>
      </c>
      <c r="F2262" s="1" t="str">
        <f>""</f>
        <v/>
      </c>
      <c r="G2262" s="1" t="str">
        <f>""</f>
        <v/>
      </c>
      <c r="H2262" s="1" t="str">
        <f>""</f>
        <v/>
      </c>
      <c r="I2262" s="1" t="str">
        <f>""</f>
        <v/>
      </c>
      <c r="J2262" s="1" t="str">
        <f>""</f>
        <v/>
      </c>
      <c r="K2262" s="1" t="str">
        <f>""</f>
        <v/>
      </c>
      <c r="L2262" s="1" t="str">
        <f t="shared" si="653"/>
        <v>R</v>
      </c>
      <c r="M2262" s="1" t="str">
        <f>""</f>
        <v/>
      </c>
      <c r="N2262" s="1" t="str">
        <f t="shared" si="654"/>
        <v>Y</v>
      </c>
      <c r="O2262" s="1" t="str">
        <f t="shared" si="656"/>
        <v>Y</v>
      </c>
      <c r="P2262" s="1" t="str">
        <f t="shared" si="655"/>
        <v>Y</v>
      </c>
      <c r="Q2262" s="1" t="str">
        <f t="shared" si="649"/>
        <v>A</v>
      </c>
    </row>
    <row r="2263" spans="1:17" x14ac:dyDescent="0.3">
      <c r="A2263" s="1" t="str">
        <f t="shared" si="652"/>
        <v>ZC</v>
      </c>
      <c r="B2263" s="1" t="str">
        <f>"J0455"</f>
        <v>J0455</v>
      </c>
      <c r="C2263" s="1" t="str">
        <f>"위 정맥류"</f>
        <v>위 정맥류</v>
      </c>
      <c r="D2263" s="1" t="s">
        <v>682</v>
      </c>
      <c r="E2263" s="1" t="str">
        <f>""</f>
        <v/>
      </c>
      <c r="F2263" s="1" t="str">
        <f>""</f>
        <v/>
      </c>
      <c r="G2263" s="1" t="str">
        <f>""</f>
        <v/>
      </c>
      <c r="H2263" s="1" t="str">
        <f>""</f>
        <v/>
      </c>
      <c r="I2263" s="1" t="str">
        <f>""</f>
        <v/>
      </c>
      <c r="J2263" s="1" t="str">
        <f>""</f>
        <v/>
      </c>
      <c r="K2263" s="1" t="str">
        <f>""</f>
        <v/>
      </c>
      <c r="L2263" s="1" t="str">
        <f t="shared" si="653"/>
        <v>R</v>
      </c>
      <c r="M2263" s="1" t="str">
        <f>""</f>
        <v/>
      </c>
      <c r="N2263" s="1" t="str">
        <f t="shared" si="654"/>
        <v>Y</v>
      </c>
      <c r="O2263" s="1" t="str">
        <f t="shared" si="656"/>
        <v>Y</v>
      </c>
      <c r="P2263" s="1" t="str">
        <f t="shared" si="655"/>
        <v>Y</v>
      </c>
      <c r="Q2263" s="1" t="str">
        <f t="shared" si="649"/>
        <v>A</v>
      </c>
    </row>
    <row r="2264" spans="1:17" x14ac:dyDescent="0.3">
      <c r="A2264" s="1" t="str">
        <f t="shared" si="652"/>
        <v>ZC</v>
      </c>
      <c r="B2264" s="1" t="str">
        <f>"J0456"</f>
        <v>J0456</v>
      </c>
      <c r="C2264" s="1" t="str">
        <f>"역류성 식도염"</f>
        <v>역류성 식도염</v>
      </c>
      <c r="D2264" s="1" t="s">
        <v>683</v>
      </c>
      <c r="E2264" s="1" t="str">
        <f>""</f>
        <v/>
      </c>
      <c r="F2264" s="1" t="str">
        <f>""</f>
        <v/>
      </c>
      <c r="G2264" s="1" t="str">
        <f>""</f>
        <v/>
      </c>
      <c r="H2264" s="1" t="str">
        <f>""</f>
        <v/>
      </c>
      <c r="I2264" s="1" t="str">
        <f>""</f>
        <v/>
      </c>
      <c r="J2264" s="1" t="str">
        <f>""</f>
        <v/>
      </c>
      <c r="K2264" s="1" t="str">
        <f>""</f>
        <v/>
      </c>
      <c r="L2264" s="1" t="str">
        <f t="shared" si="653"/>
        <v>R</v>
      </c>
      <c r="M2264" s="1" t="str">
        <f>""</f>
        <v/>
      </c>
      <c r="N2264" s="1" t="str">
        <f t="shared" si="654"/>
        <v>Y</v>
      </c>
      <c r="O2264" s="1" t="str">
        <f t="shared" si="656"/>
        <v>Y</v>
      </c>
      <c r="P2264" s="1" t="str">
        <f t="shared" si="655"/>
        <v>Y</v>
      </c>
      <c r="Q2264" s="1" t="str">
        <f t="shared" si="649"/>
        <v>A</v>
      </c>
    </row>
    <row r="2265" spans="1:17" x14ac:dyDescent="0.3">
      <c r="A2265" s="1" t="str">
        <f t="shared" si="652"/>
        <v>ZC</v>
      </c>
      <c r="B2265" s="1" t="str">
        <f>"J0457"</f>
        <v>J0457</v>
      </c>
      <c r="C2265" s="1" t="str">
        <f>"심한 역류성 식도염"</f>
        <v>심한 역류성 식도염</v>
      </c>
      <c r="D2265" s="1" t="s">
        <v>684</v>
      </c>
      <c r="E2265" s="1" t="str">
        <f>""</f>
        <v/>
      </c>
      <c r="F2265" s="1" t="str">
        <f>""</f>
        <v/>
      </c>
      <c r="G2265" s="1" t="str">
        <f>""</f>
        <v/>
      </c>
      <c r="H2265" s="1" t="str">
        <f>""</f>
        <v/>
      </c>
      <c r="I2265" s="1" t="str">
        <f>""</f>
        <v/>
      </c>
      <c r="J2265" s="1" t="str">
        <f>""</f>
        <v/>
      </c>
      <c r="K2265" s="1" t="str">
        <f>""</f>
        <v/>
      </c>
      <c r="L2265" s="1" t="str">
        <f t="shared" si="653"/>
        <v>R</v>
      </c>
      <c r="M2265" s="1" t="str">
        <f>""</f>
        <v/>
      </c>
      <c r="N2265" s="1" t="str">
        <f t="shared" si="654"/>
        <v>Y</v>
      </c>
      <c r="O2265" s="1" t="str">
        <f t="shared" si="656"/>
        <v>Y</v>
      </c>
      <c r="P2265" s="1" t="str">
        <f t="shared" si="655"/>
        <v>Y</v>
      </c>
      <c r="Q2265" s="1" t="str">
        <f t="shared" si="649"/>
        <v>A</v>
      </c>
    </row>
    <row r="2266" spans="1:17" x14ac:dyDescent="0.3">
      <c r="A2266" s="1" t="str">
        <f t="shared" si="652"/>
        <v>ZC</v>
      </c>
      <c r="B2266" s="1" t="str">
        <f>"J0458"</f>
        <v>J0458</v>
      </c>
      <c r="C2266" s="1" t="str">
        <f>"식도 궤양"</f>
        <v>식도 궤양</v>
      </c>
      <c r="D2266" s="1" t="s">
        <v>685</v>
      </c>
      <c r="E2266" s="1" t="str">
        <f>""</f>
        <v/>
      </c>
      <c r="F2266" s="1" t="str">
        <f>""</f>
        <v/>
      </c>
      <c r="G2266" s="1" t="str">
        <f>""</f>
        <v/>
      </c>
      <c r="H2266" s="1" t="str">
        <f>""</f>
        <v/>
      </c>
      <c r="I2266" s="1" t="str">
        <f>""</f>
        <v/>
      </c>
      <c r="J2266" s="1" t="str">
        <f>""</f>
        <v/>
      </c>
      <c r="K2266" s="1" t="str">
        <f>""</f>
        <v/>
      </c>
      <c r="L2266" s="1" t="str">
        <f t="shared" si="653"/>
        <v>R</v>
      </c>
      <c r="M2266" s="1" t="str">
        <f>""</f>
        <v/>
      </c>
      <c r="N2266" s="1" t="str">
        <f t="shared" si="654"/>
        <v>Y</v>
      </c>
      <c r="O2266" s="1" t="str">
        <f t="shared" si="656"/>
        <v>Y</v>
      </c>
      <c r="P2266" s="1" t="str">
        <f t="shared" si="655"/>
        <v>Y</v>
      </c>
      <c r="Q2266" s="1" t="str">
        <f t="shared" ref="Q2266:Q2329" si="657">"A"</f>
        <v>A</v>
      </c>
    </row>
    <row r="2267" spans="1:17" x14ac:dyDescent="0.3">
      <c r="A2267" s="1" t="str">
        <f t="shared" si="652"/>
        <v>ZC</v>
      </c>
      <c r="B2267" s="1" t="str">
        <f>"J0459"</f>
        <v>J0459</v>
      </c>
      <c r="C2267" s="1" t="str">
        <f>"바렛식도 의심"</f>
        <v>바렛식도 의심</v>
      </c>
      <c r="D2267" s="1" t="str">
        <f>"위내시경검사에서 발견된 바렛식도는 위-식도 역류로 인해 식도 점막이 산에 강한 위점막으로 변화하는 것으로 식도암의 위험인자입니다. 치료 및 추적검사를 위해 의료기관을 방문하시어 진료 상담을 받으시기 바랍니다."</f>
        <v>위내시경검사에서 발견된 바렛식도는 위-식도 역류로 인해 식도 점막이 산에 강한 위점막으로 변화하는 것으로 식도암의 위험인자입니다. 치료 및 추적검사를 위해 의료기관을 방문하시어 진료 상담을 받으시기 바랍니다.</v>
      </c>
      <c r="E2267" s="1" t="str">
        <f>""</f>
        <v/>
      </c>
      <c r="F2267" s="1" t="str">
        <f>""</f>
        <v/>
      </c>
      <c r="G2267" s="1" t="str">
        <f>""</f>
        <v/>
      </c>
      <c r="H2267" s="1" t="str">
        <f>""</f>
        <v/>
      </c>
      <c r="I2267" s="1" t="str">
        <f>""</f>
        <v/>
      </c>
      <c r="J2267" s="1" t="str">
        <f>""</f>
        <v/>
      </c>
      <c r="K2267" s="1" t="str">
        <f>""</f>
        <v/>
      </c>
      <c r="L2267" s="1" t="str">
        <f t="shared" si="653"/>
        <v>R</v>
      </c>
      <c r="M2267" s="1" t="str">
        <f>""</f>
        <v/>
      </c>
      <c r="N2267" s="1" t="str">
        <f t="shared" si="654"/>
        <v>Y</v>
      </c>
      <c r="O2267" s="1" t="str">
        <f t="shared" si="656"/>
        <v>Y</v>
      </c>
      <c r="P2267" s="1" t="str">
        <f t="shared" si="655"/>
        <v>Y</v>
      </c>
      <c r="Q2267" s="1" t="str">
        <f t="shared" si="657"/>
        <v>A</v>
      </c>
    </row>
    <row r="2268" spans="1:17" x14ac:dyDescent="0.3">
      <c r="A2268" s="1" t="str">
        <f t="shared" si="652"/>
        <v>ZC</v>
      </c>
      <c r="B2268" s="1" t="str">
        <f>"J0460"</f>
        <v>J0460</v>
      </c>
      <c r="C2268" s="1" t="s">
        <v>686</v>
      </c>
      <c r="D2268" s="1" t="str">
        <f>"위내시경검사에서 확인된 바렛식도는 위-식도 역류로 인해 식도 점막이 산에 강한 위점막으로 변화하는 것으로 식도암의 위험인자입니다. 치료 및 추적검사를 위해 의료기관을 방문하시어 진료 상담을 받으시기 바랍니다."</f>
        <v>위내시경검사에서 확인된 바렛식도는 위-식도 역류로 인해 식도 점막이 산에 강한 위점막으로 변화하는 것으로 식도암의 위험인자입니다. 치료 및 추적검사를 위해 의료기관을 방문하시어 진료 상담을 받으시기 바랍니다.</v>
      </c>
      <c r="E2268" s="1" t="str">
        <f>""</f>
        <v/>
      </c>
      <c r="F2268" s="1" t="str">
        <f>""</f>
        <v/>
      </c>
      <c r="G2268" s="1" t="str">
        <f>""</f>
        <v/>
      </c>
      <c r="H2268" s="1" t="str">
        <f>""</f>
        <v/>
      </c>
      <c r="I2268" s="1" t="str">
        <f>""</f>
        <v/>
      </c>
      <c r="J2268" s="1" t="str">
        <f>""</f>
        <v/>
      </c>
      <c r="K2268" s="1" t="str">
        <f>""</f>
        <v/>
      </c>
      <c r="L2268" s="1" t="str">
        <f t="shared" si="653"/>
        <v>R</v>
      </c>
      <c r="M2268" s="1" t="str">
        <f>""</f>
        <v/>
      </c>
      <c r="N2268" s="1" t="str">
        <f t="shared" si="654"/>
        <v>Y</v>
      </c>
      <c r="O2268" s="1" t="str">
        <f t="shared" si="656"/>
        <v>Y</v>
      </c>
      <c r="P2268" s="1" t="str">
        <f t="shared" si="655"/>
        <v>Y</v>
      </c>
      <c r="Q2268" s="1" t="str">
        <f t="shared" si="657"/>
        <v>A</v>
      </c>
    </row>
    <row r="2269" spans="1:17" x14ac:dyDescent="0.3">
      <c r="A2269" s="1" t="str">
        <f t="shared" si="652"/>
        <v>ZC</v>
      </c>
      <c r="B2269" s="1" t="str">
        <f>"J0461"</f>
        <v>J0461</v>
      </c>
      <c r="C2269" s="1" t="s">
        <v>687</v>
      </c>
      <c r="D2269" s="1" t="str">
        <f>"위내시경검사에서 확인된 바렛식도는 위-식도 역류로 인해 식도 점막이 산에 강한 위점막으로 변화하는 것입니다. 점막이상(이형성증)이 동반되어 있어 추적 검사 및 치료에 대해 의료기관을 방문하시어 진료 상담을 받으시기 바랍니다."</f>
        <v>위내시경검사에서 확인된 바렛식도는 위-식도 역류로 인해 식도 점막이 산에 강한 위점막으로 변화하는 것입니다. 점막이상(이형성증)이 동반되어 있어 추적 검사 및 치료에 대해 의료기관을 방문하시어 진료 상담을 받으시기 바랍니다.</v>
      </c>
      <c r="E2269" s="1" t="str">
        <f>""</f>
        <v/>
      </c>
      <c r="F2269" s="1" t="str">
        <f>""</f>
        <v/>
      </c>
      <c r="G2269" s="1" t="str">
        <f>""</f>
        <v/>
      </c>
      <c r="H2269" s="1" t="str">
        <f>""</f>
        <v/>
      </c>
      <c r="I2269" s="1" t="str">
        <f>""</f>
        <v/>
      </c>
      <c r="J2269" s="1" t="str">
        <f>""</f>
        <v/>
      </c>
      <c r="K2269" s="1" t="str">
        <f>""</f>
        <v/>
      </c>
      <c r="L2269" s="1" t="str">
        <f t="shared" si="653"/>
        <v>R</v>
      </c>
      <c r="M2269" s="1" t="str">
        <f>""</f>
        <v/>
      </c>
      <c r="N2269" s="1" t="str">
        <f t="shared" si="654"/>
        <v>Y</v>
      </c>
      <c r="O2269" s="1" t="str">
        <f t="shared" si="656"/>
        <v>Y</v>
      </c>
      <c r="P2269" s="1" t="str">
        <f t="shared" si="655"/>
        <v>Y</v>
      </c>
      <c r="Q2269" s="1" t="str">
        <f t="shared" si="657"/>
        <v>A</v>
      </c>
    </row>
    <row r="2270" spans="1:17" x14ac:dyDescent="0.3">
      <c r="A2270" s="1" t="str">
        <f t="shared" si="652"/>
        <v>ZC</v>
      </c>
      <c r="B2270" s="1" t="str">
        <f>"J0462"</f>
        <v>J0462</v>
      </c>
      <c r="C2270" s="1" t="s">
        <v>688</v>
      </c>
      <c r="D2270" s="1" t="s">
        <v>689</v>
      </c>
      <c r="E2270" s="1" t="str">
        <f>""</f>
        <v/>
      </c>
      <c r="F2270" s="1" t="str">
        <f>""</f>
        <v/>
      </c>
      <c r="G2270" s="1" t="str">
        <f>""</f>
        <v/>
      </c>
      <c r="H2270" s="1" t="str">
        <f>""</f>
        <v/>
      </c>
      <c r="I2270" s="1" t="str">
        <f>""</f>
        <v/>
      </c>
      <c r="J2270" s="1" t="str">
        <f>""</f>
        <v/>
      </c>
      <c r="K2270" s="1" t="str">
        <f>""</f>
        <v/>
      </c>
      <c r="L2270" s="1" t="str">
        <f t="shared" si="653"/>
        <v>R</v>
      </c>
      <c r="M2270" s="1" t="str">
        <f>""</f>
        <v/>
      </c>
      <c r="N2270" s="1" t="str">
        <f t="shared" si="654"/>
        <v>Y</v>
      </c>
      <c r="O2270" s="1" t="str">
        <f t="shared" si="656"/>
        <v>Y</v>
      </c>
      <c r="P2270" s="1" t="str">
        <f t="shared" si="655"/>
        <v>Y</v>
      </c>
      <c r="Q2270" s="1" t="str">
        <f t="shared" si="657"/>
        <v>A</v>
      </c>
    </row>
    <row r="2271" spans="1:17" x14ac:dyDescent="0.3">
      <c r="A2271" s="1" t="str">
        <f t="shared" si="652"/>
        <v>ZC</v>
      </c>
      <c r="B2271" s="1" t="str">
        <f>"J0463"</f>
        <v>J0463</v>
      </c>
      <c r="C2271" s="1" t="str">
        <f>"작은 위-식도 접합부 용종"</f>
        <v>작은 위-식도 접합부 용종</v>
      </c>
      <c r="D2271" s="1" t="s">
        <v>690</v>
      </c>
      <c r="E2271" s="1" t="str">
        <f>""</f>
        <v/>
      </c>
      <c r="F2271" s="1" t="str">
        <f>""</f>
        <v/>
      </c>
      <c r="G2271" s="1" t="str">
        <f>""</f>
        <v/>
      </c>
      <c r="H2271" s="1" t="str">
        <f>""</f>
        <v/>
      </c>
      <c r="I2271" s="1" t="str">
        <f>""</f>
        <v/>
      </c>
      <c r="J2271" s="1" t="str">
        <f>""</f>
        <v/>
      </c>
      <c r="K2271" s="1" t="str">
        <f>""</f>
        <v/>
      </c>
      <c r="L2271" s="1" t="str">
        <f t="shared" si="653"/>
        <v>R</v>
      </c>
      <c r="M2271" s="1" t="str">
        <f>""</f>
        <v/>
      </c>
      <c r="N2271" s="1" t="str">
        <f t="shared" si="654"/>
        <v>Y</v>
      </c>
      <c r="O2271" s="1" t="str">
        <f t="shared" si="656"/>
        <v>Y</v>
      </c>
      <c r="P2271" s="1" t="str">
        <f t="shared" si="655"/>
        <v>Y</v>
      </c>
      <c r="Q2271" s="1" t="str">
        <f t="shared" si="657"/>
        <v>A</v>
      </c>
    </row>
    <row r="2272" spans="1:17" x14ac:dyDescent="0.3">
      <c r="A2272" s="1" t="str">
        <f t="shared" si="652"/>
        <v>ZC</v>
      </c>
      <c r="B2272" s="1" t="str">
        <f>"J0464"</f>
        <v>J0464</v>
      </c>
      <c r="C2272" s="1" t="str">
        <f>"비교적 큰 위-식도 접합부 용종"</f>
        <v>비교적 큰 위-식도 접합부 용종</v>
      </c>
      <c r="D2272" s="1" t="s">
        <v>691</v>
      </c>
      <c r="E2272" s="1" t="str">
        <f>""</f>
        <v/>
      </c>
      <c r="F2272" s="1" t="str">
        <f>""</f>
        <v/>
      </c>
      <c r="G2272" s="1" t="str">
        <f>""</f>
        <v/>
      </c>
      <c r="H2272" s="1" t="str">
        <f>""</f>
        <v/>
      </c>
      <c r="I2272" s="1" t="str">
        <f>""</f>
        <v/>
      </c>
      <c r="J2272" s="1" t="str">
        <f>""</f>
        <v/>
      </c>
      <c r="K2272" s="1" t="str">
        <f>""</f>
        <v/>
      </c>
      <c r="L2272" s="1" t="str">
        <f t="shared" si="653"/>
        <v>R</v>
      </c>
      <c r="M2272" s="1" t="str">
        <f>""</f>
        <v/>
      </c>
      <c r="N2272" s="1" t="str">
        <f t="shared" si="654"/>
        <v>Y</v>
      </c>
      <c r="O2272" s="1" t="str">
        <f t="shared" si="656"/>
        <v>Y</v>
      </c>
      <c r="P2272" s="1" t="str">
        <f t="shared" si="655"/>
        <v>Y</v>
      </c>
      <c r="Q2272" s="1" t="str">
        <f t="shared" si="657"/>
        <v>A</v>
      </c>
    </row>
    <row r="2273" spans="1:17" x14ac:dyDescent="0.3">
      <c r="A2273" s="1" t="str">
        <f t="shared" si="652"/>
        <v>ZC</v>
      </c>
      <c r="B2273" s="1" t="str">
        <f>"J0465"</f>
        <v>J0465</v>
      </c>
      <c r="C2273" s="1" t="s">
        <v>692</v>
      </c>
      <c r="D2273" s="1" t="str">
        <f>"위내시경검사에서 위-식도 접합부 용종이 관찰됩니다. 조직검사에서 선종으로 확인되었습니다. 선종은 양성 종양이지만 악성화될 가능성이 있습니다. 내시경적 절제 또는 추적 검사가 필요하니 의료기관을 방문하여 진료 상담을 받으시기 바랍니다."</f>
        <v>위내시경검사에서 위-식도 접합부 용종이 관찰됩니다. 조직검사에서 선종으로 확인되었습니다. 선종은 양성 종양이지만 악성화될 가능성이 있습니다. 내시경적 절제 또는 추적 검사가 필요하니 의료기관을 방문하여 진료 상담을 받으시기 바랍니다.</v>
      </c>
      <c r="E2273" s="1" t="str">
        <f>""</f>
        <v/>
      </c>
      <c r="F2273" s="1" t="str">
        <f>""</f>
        <v/>
      </c>
      <c r="G2273" s="1" t="str">
        <f>""</f>
        <v/>
      </c>
      <c r="H2273" s="1" t="str">
        <f>""</f>
        <v/>
      </c>
      <c r="I2273" s="1" t="str">
        <f>""</f>
        <v/>
      </c>
      <c r="J2273" s="1" t="str">
        <f>""</f>
        <v/>
      </c>
      <c r="K2273" s="1" t="str">
        <f>""</f>
        <v/>
      </c>
      <c r="L2273" s="1" t="str">
        <f t="shared" si="653"/>
        <v>R</v>
      </c>
      <c r="M2273" s="1" t="str">
        <f>""</f>
        <v/>
      </c>
      <c r="N2273" s="1" t="str">
        <f t="shared" si="654"/>
        <v>Y</v>
      </c>
      <c r="O2273" s="1" t="str">
        <f t="shared" si="656"/>
        <v>Y</v>
      </c>
      <c r="P2273" s="1" t="str">
        <f t="shared" si="655"/>
        <v>Y</v>
      </c>
      <c r="Q2273" s="1" t="str">
        <f t="shared" si="657"/>
        <v>A</v>
      </c>
    </row>
    <row r="2274" spans="1:17" x14ac:dyDescent="0.3">
      <c r="A2274" s="1" t="str">
        <f t="shared" si="652"/>
        <v>ZC</v>
      </c>
      <c r="B2274" s="1" t="str">
        <f>"J0466"</f>
        <v>J0466</v>
      </c>
      <c r="C2274" s="1" t="str">
        <f>"식도암"</f>
        <v>식도암</v>
      </c>
      <c r="D2274" s="1" t="str">
        <f>"내시경검사에서 식도암이 발견되었습니다. 치료를 위해 빠른 시일 내에 의료기관을 방문하시어 진료 상담을 받으시기 바랍니다."</f>
        <v>내시경검사에서 식도암이 발견되었습니다. 치료를 위해 빠른 시일 내에 의료기관을 방문하시어 진료 상담을 받으시기 바랍니다.</v>
      </c>
      <c r="E2274" s="1" t="str">
        <f>""</f>
        <v/>
      </c>
      <c r="F2274" s="1" t="str">
        <f>""</f>
        <v/>
      </c>
      <c r="G2274" s="1" t="str">
        <f>""</f>
        <v/>
      </c>
      <c r="H2274" s="1" t="str">
        <f>""</f>
        <v/>
      </c>
      <c r="I2274" s="1" t="str">
        <f>""</f>
        <v/>
      </c>
      <c r="J2274" s="1" t="str">
        <f>""</f>
        <v/>
      </c>
      <c r="K2274" s="1" t="str">
        <f>""</f>
        <v/>
      </c>
      <c r="L2274" s="1" t="str">
        <f t="shared" si="653"/>
        <v>R</v>
      </c>
      <c r="M2274" s="1" t="str">
        <f>""</f>
        <v/>
      </c>
      <c r="N2274" s="1" t="str">
        <f t="shared" si="654"/>
        <v>Y</v>
      </c>
      <c r="O2274" s="1" t="str">
        <f t="shared" si="656"/>
        <v>Y</v>
      </c>
      <c r="P2274" s="1" t="str">
        <f t="shared" si="655"/>
        <v>Y</v>
      </c>
      <c r="Q2274" s="1" t="str">
        <f t="shared" si="657"/>
        <v>A</v>
      </c>
    </row>
    <row r="2275" spans="1:17" x14ac:dyDescent="0.3">
      <c r="A2275" s="1" t="str">
        <f t="shared" si="652"/>
        <v>ZC</v>
      </c>
      <c r="B2275" s="1" t="str">
        <f>"J0467"</f>
        <v>J0467</v>
      </c>
      <c r="C2275" s="1" t="s">
        <v>693</v>
      </c>
      <c r="D2275" s="1" t="s">
        <v>694</v>
      </c>
      <c r="E2275" s="1" t="str">
        <f>""</f>
        <v/>
      </c>
      <c r="F2275" s="1" t="str">
        <f>""</f>
        <v/>
      </c>
      <c r="G2275" s="1" t="str">
        <f>""</f>
        <v/>
      </c>
      <c r="H2275" s="1" t="str">
        <f>""</f>
        <v/>
      </c>
      <c r="I2275" s="1" t="str">
        <f>""</f>
        <v/>
      </c>
      <c r="J2275" s="1" t="str">
        <f>""</f>
        <v/>
      </c>
      <c r="K2275" s="1" t="str">
        <f>""</f>
        <v/>
      </c>
      <c r="L2275" s="1" t="str">
        <f t="shared" si="653"/>
        <v>R</v>
      </c>
      <c r="M2275" s="1" t="str">
        <f>""</f>
        <v/>
      </c>
      <c r="N2275" s="1" t="str">
        <f t="shared" si="654"/>
        <v>Y</v>
      </c>
      <c r="O2275" s="1" t="str">
        <f t="shared" si="656"/>
        <v>Y</v>
      </c>
      <c r="P2275" s="1" t="str">
        <f t="shared" si="655"/>
        <v>Y</v>
      </c>
      <c r="Q2275" s="1" t="str">
        <f t="shared" si="657"/>
        <v>A</v>
      </c>
    </row>
    <row r="2276" spans="1:17" x14ac:dyDescent="0.3">
      <c r="A2276" s="1" t="str">
        <f t="shared" si="652"/>
        <v>ZC</v>
      </c>
      <c r="B2276" s="1" t="str">
        <f>"J0468"</f>
        <v>J0468</v>
      </c>
      <c r="C2276" s="1" t="s">
        <v>695</v>
      </c>
      <c r="D2276" s="1" t="s">
        <v>696</v>
      </c>
      <c r="E2276" s="1" t="str">
        <f>""</f>
        <v/>
      </c>
      <c r="F2276" s="1" t="str">
        <f>""</f>
        <v/>
      </c>
      <c r="G2276" s="1" t="str">
        <f>""</f>
        <v/>
      </c>
      <c r="H2276" s="1" t="str">
        <f>""</f>
        <v/>
      </c>
      <c r="I2276" s="1" t="str">
        <f>""</f>
        <v/>
      </c>
      <c r="J2276" s="1" t="str">
        <f>""</f>
        <v/>
      </c>
      <c r="K2276" s="1" t="str">
        <f>""</f>
        <v/>
      </c>
      <c r="L2276" s="1" t="str">
        <f t="shared" si="653"/>
        <v>R</v>
      </c>
      <c r="M2276" s="1" t="str">
        <f>""</f>
        <v/>
      </c>
      <c r="N2276" s="1" t="str">
        <f t="shared" si="654"/>
        <v>Y</v>
      </c>
      <c r="O2276" s="1" t="str">
        <f t="shared" si="656"/>
        <v>Y</v>
      </c>
      <c r="P2276" s="1" t="str">
        <f t="shared" si="655"/>
        <v>Y</v>
      </c>
      <c r="Q2276" s="1" t="str">
        <f t="shared" si="657"/>
        <v>A</v>
      </c>
    </row>
    <row r="2277" spans="1:17" x14ac:dyDescent="0.3">
      <c r="A2277" s="1" t="str">
        <f t="shared" si="652"/>
        <v>ZC</v>
      </c>
      <c r="B2277" s="1" t="str">
        <f>"J0469"</f>
        <v>J0469</v>
      </c>
      <c r="C2277" s="1" t="s">
        <v>697</v>
      </c>
      <c r="D2277" s="1" t="s">
        <v>698</v>
      </c>
      <c r="E2277" s="1" t="str">
        <f>""</f>
        <v/>
      </c>
      <c r="F2277" s="1" t="str">
        <f>""</f>
        <v/>
      </c>
      <c r="G2277" s="1" t="str">
        <f>""</f>
        <v/>
      </c>
      <c r="H2277" s="1" t="str">
        <f>""</f>
        <v/>
      </c>
      <c r="I2277" s="1" t="str">
        <f>""</f>
        <v/>
      </c>
      <c r="J2277" s="1" t="str">
        <f>""</f>
        <v/>
      </c>
      <c r="K2277" s="1" t="str">
        <f>""</f>
        <v/>
      </c>
      <c r="L2277" s="1" t="str">
        <f t="shared" si="653"/>
        <v>R</v>
      </c>
      <c r="M2277" s="1" t="str">
        <f>""</f>
        <v/>
      </c>
      <c r="N2277" s="1" t="str">
        <f t="shared" si="654"/>
        <v>Y</v>
      </c>
      <c r="O2277" s="1" t="str">
        <f t="shared" si="656"/>
        <v>Y</v>
      </c>
      <c r="P2277" s="1" t="str">
        <f t="shared" si="655"/>
        <v>Y</v>
      </c>
      <c r="Q2277" s="1" t="str">
        <f t="shared" si="657"/>
        <v>A</v>
      </c>
    </row>
    <row r="2278" spans="1:17" x14ac:dyDescent="0.3">
      <c r="A2278" s="1" t="str">
        <f t="shared" si="652"/>
        <v>ZC</v>
      </c>
      <c r="B2278" s="1" t="str">
        <f>"J0470"</f>
        <v>J0470</v>
      </c>
      <c r="C2278" s="1" t="s">
        <v>699</v>
      </c>
      <c r="D2278" s="1" t="s">
        <v>700</v>
      </c>
      <c r="E2278" s="1" t="str">
        <f>""</f>
        <v/>
      </c>
      <c r="F2278" s="1" t="str">
        <f>""</f>
        <v/>
      </c>
      <c r="G2278" s="1" t="str">
        <f>""</f>
        <v/>
      </c>
      <c r="H2278" s="1" t="str">
        <f>""</f>
        <v/>
      </c>
      <c r="I2278" s="1" t="str">
        <f>""</f>
        <v/>
      </c>
      <c r="J2278" s="1" t="str">
        <f>""</f>
        <v/>
      </c>
      <c r="K2278" s="1" t="str">
        <f>""</f>
        <v/>
      </c>
      <c r="L2278" s="1" t="str">
        <f t="shared" si="653"/>
        <v>R</v>
      </c>
      <c r="M2278" s="1" t="str">
        <f>""</f>
        <v/>
      </c>
      <c r="N2278" s="1" t="str">
        <f t="shared" si="654"/>
        <v>Y</v>
      </c>
      <c r="O2278" s="1" t="str">
        <f t="shared" si="656"/>
        <v>Y</v>
      </c>
      <c r="P2278" s="1" t="str">
        <f t="shared" si="655"/>
        <v>Y</v>
      </c>
      <c r="Q2278" s="1" t="str">
        <f t="shared" si="657"/>
        <v>A</v>
      </c>
    </row>
    <row r="2279" spans="1:17" x14ac:dyDescent="0.3">
      <c r="A2279" s="1" t="str">
        <f t="shared" si="652"/>
        <v>ZC</v>
      </c>
      <c r="B2279" s="1" t="str">
        <f>"J0471"</f>
        <v>J0471</v>
      </c>
      <c r="C2279" s="1" t="str">
        <f>"십이지장 용종"</f>
        <v>십이지장 용종</v>
      </c>
      <c r="D2279" s="1" t="s">
        <v>701</v>
      </c>
      <c r="E2279" s="1" t="str">
        <f>""</f>
        <v/>
      </c>
      <c r="F2279" s="1" t="str">
        <f>""</f>
        <v/>
      </c>
      <c r="G2279" s="1" t="str">
        <f>""</f>
        <v/>
      </c>
      <c r="H2279" s="1" t="str">
        <f>""</f>
        <v/>
      </c>
      <c r="I2279" s="1" t="str">
        <f>""</f>
        <v/>
      </c>
      <c r="J2279" s="1" t="str">
        <f>""</f>
        <v/>
      </c>
      <c r="K2279" s="1" t="str">
        <f>""</f>
        <v/>
      </c>
      <c r="L2279" s="1" t="str">
        <f t="shared" si="653"/>
        <v>R</v>
      </c>
      <c r="M2279" s="1" t="str">
        <f>""</f>
        <v/>
      </c>
      <c r="N2279" s="1" t="str">
        <f t="shared" si="654"/>
        <v>Y</v>
      </c>
      <c r="O2279" s="1" t="str">
        <f t="shared" si="656"/>
        <v>Y</v>
      </c>
      <c r="P2279" s="1" t="str">
        <f t="shared" si="655"/>
        <v>Y</v>
      </c>
      <c r="Q2279" s="1" t="str">
        <f t="shared" si="657"/>
        <v>A</v>
      </c>
    </row>
    <row r="2280" spans="1:17" x14ac:dyDescent="0.3">
      <c r="A2280" s="1" t="str">
        <f t="shared" si="652"/>
        <v>ZC</v>
      </c>
      <c r="B2280" s="1" t="str">
        <f>"J0472"</f>
        <v>J0472</v>
      </c>
      <c r="C2280" s="1" t="s">
        <v>702</v>
      </c>
      <c r="D2280" s="1" t="str">
        <f>"위내시경검사에서 십이지장에 용종이 관찰됩니다. 조직검사에서 선종으로 확인되었습니다. 선종은 양성 종양이지만 악성화될 가능성이 있습니다. 내시경적 절제 또는 추적 검사가 필요하니 의료기관을 방문하여 진료 상담을 받으시기 바랍니다."</f>
        <v>위내시경검사에서 십이지장에 용종이 관찰됩니다. 조직검사에서 선종으로 확인되었습니다. 선종은 양성 종양이지만 악성화될 가능성이 있습니다. 내시경적 절제 또는 추적 검사가 필요하니 의료기관을 방문하여 진료 상담을 받으시기 바랍니다.</v>
      </c>
      <c r="E2280" s="1" t="str">
        <f>""</f>
        <v/>
      </c>
      <c r="F2280" s="1" t="str">
        <f>""</f>
        <v/>
      </c>
      <c r="G2280" s="1" t="str">
        <f>""</f>
        <v/>
      </c>
      <c r="H2280" s="1" t="str">
        <f>""</f>
        <v/>
      </c>
      <c r="I2280" s="1" t="str">
        <f>""</f>
        <v/>
      </c>
      <c r="J2280" s="1" t="str">
        <f>""</f>
        <v/>
      </c>
      <c r="K2280" s="1" t="str">
        <f>""</f>
        <v/>
      </c>
      <c r="L2280" s="1" t="str">
        <f t="shared" si="653"/>
        <v>R</v>
      </c>
      <c r="M2280" s="1" t="str">
        <f>""</f>
        <v/>
      </c>
      <c r="N2280" s="1" t="str">
        <f t="shared" si="654"/>
        <v>Y</v>
      </c>
      <c r="O2280" s="1" t="str">
        <f t="shared" si="656"/>
        <v>Y</v>
      </c>
      <c r="P2280" s="1" t="str">
        <f t="shared" si="655"/>
        <v>Y</v>
      </c>
      <c r="Q2280" s="1" t="str">
        <f t="shared" si="657"/>
        <v>A</v>
      </c>
    </row>
    <row r="2281" spans="1:17" x14ac:dyDescent="0.3">
      <c r="A2281" s="1" t="str">
        <f t="shared" si="652"/>
        <v>ZC</v>
      </c>
      <c r="B2281" s="1" t="str">
        <f>"J0473"</f>
        <v>J0473</v>
      </c>
      <c r="C2281" s="1" t="str">
        <f>"십이지장 암"</f>
        <v>십이지장 암</v>
      </c>
      <c r="D2281" s="1" t="str">
        <f>"내시경검사에서 십이지장에 암이 발견되었습니다. 치료를 위해 빠른 시일 내에 의료기관을 방문하시어 진료 상담을 받으시기 바랍니다."</f>
        <v>내시경검사에서 십이지장에 암이 발견되었습니다. 치료를 위해 빠른 시일 내에 의료기관을 방문하시어 진료 상담을 받으시기 바랍니다.</v>
      </c>
      <c r="E2281" s="1" t="str">
        <f>""</f>
        <v/>
      </c>
      <c r="F2281" s="1" t="str">
        <f>""</f>
        <v/>
      </c>
      <c r="G2281" s="1" t="str">
        <f>""</f>
        <v/>
      </c>
      <c r="H2281" s="1" t="str">
        <f>""</f>
        <v/>
      </c>
      <c r="I2281" s="1" t="str">
        <f>""</f>
        <v/>
      </c>
      <c r="J2281" s="1" t="str">
        <f>""</f>
        <v/>
      </c>
      <c r="K2281" s="1" t="str">
        <f>""</f>
        <v/>
      </c>
      <c r="L2281" s="1" t="str">
        <f t="shared" si="653"/>
        <v>R</v>
      </c>
      <c r="M2281" s="1" t="str">
        <f>""</f>
        <v/>
      </c>
      <c r="N2281" s="1" t="str">
        <f t="shared" si="654"/>
        <v>Y</v>
      </c>
      <c r="O2281" s="1" t="str">
        <f t="shared" si="656"/>
        <v>Y</v>
      </c>
      <c r="P2281" s="1" t="str">
        <f t="shared" si="655"/>
        <v>Y</v>
      </c>
      <c r="Q2281" s="1" t="str">
        <f t="shared" si="657"/>
        <v>A</v>
      </c>
    </row>
    <row r="2282" spans="1:17" x14ac:dyDescent="0.3">
      <c r="A2282" s="1" t="str">
        <f t="shared" si="652"/>
        <v>ZC</v>
      </c>
      <c r="B2282" s="1" t="str">
        <f>"J0474"</f>
        <v>J0474</v>
      </c>
      <c r="C2282" s="1" t="str">
        <f>"십이지장염"</f>
        <v>십이지장염</v>
      </c>
      <c r="D2282" s="1" t="s">
        <v>703</v>
      </c>
      <c r="E2282" s="1" t="str">
        <f>""</f>
        <v/>
      </c>
      <c r="F2282" s="1" t="str">
        <f>""</f>
        <v/>
      </c>
      <c r="G2282" s="1" t="str">
        <f>""</f>
        <v/>
      </c>
      <c r="H2282" s="1" t="str">
        <f>""</f>
        <v/>
      </c>
      <c r="I2282" s="1" t="str">
        <f>""</f>
        <v/>
      </c>
      <c r="J2282" s="1" t="str">
        <f>""</f>
        <v/>
      </c>
      <c r="K2282" s="1" t="str">
        <f>""</f>
        <v/>
      </c>
      <c r="L2282" s="1" t="str">
        <f t="shared" si="653"/>
        <v>R</v>
      </c>
      <c r="M2282" s="1" t="str">
        <f>""</f>
        <v/>
      </c>
      <c r="N2282" s="1" t="str">
        <f t="shared" si="654"/>
        <v>Y</v>
      </c>
      <c r="O2282" s="1" t="str">
        <f t="shared" si="656"/>
        <v>Y</v>
      </c>
      <c r="P2282" s="1" t="str">
        <f t="shared" si="655"/>
        <v>Y</v>
      </c>
      <c r="Q2282" s="1" t="str">
        <f t="shared" si="657"/>
        <v>A</v>
      </c>
    </row>
    <row r="2283" spans="1:17" x14ac:dyDescent="0.3">
      <c r="A2283" s="1" t="str">
        <f t="shared" si="652"/>
        <v>ZC</v>
      </c>
      <c r="B2283" s="1" t="str">
        <f>"J0475"</f>
        <v>J0475</v>
      </c>
      <c r="C2283" s="1" t="str">
        <f>"식도탈장"</f>
        <v>식도탈장</v>
      </c>
      <c r="D2283" s="1" t="s">
        <v>704</v>
      </c>
      <c r="E2283" s="1" t="str">
        <f>""</f>
        <v/>
      </c>
      <c r="F2283" s="1" t="str">
        <f>""</f>
        <v/>
      </c>
      <c r="G2283" s="1" t="str">
        <f>""</f>
        <v/>
      </c>
      <c r="H2283" s="1" t="str">
        <f>""</f>
        <v/>
      </c>
      <c r="I2283" s="1" t="str">
        <f>""</f>
        <v/>
      </c>
      <c r="J2283" s="1" t="str">
        <f>""</f>
        <v/>
      </c>
      <c r="K2283" s="1" t="str">
        <f>""</f>
        <v/>
      </c>
      <c r="L2283" s="1" t="str">
        <f t="shared" si="653"/>
        <v>R</v>
      </c>
      <c r="M2283" s="1" t="str">
        <f>""</f>
        <v/>
      </c>
      <c r="N2283" s="1" t="str">
        <f t="shared" si="654"/>
        <v>Y</v>
      </c>
      <c r="O2283" s="1" t="str">
        <f t="shared" si="656"/>
        <v>Y</v>
      </c>
      <c r="P2283" s="1" t="str">
        <f t="shared" si="655"/>
        <v>Y</v>
      </c>
      <c r="Q2283" s="1" t="str">
        <f t="shared" si="657"/>
        <v>A</v>
      </c>
    </row>
    <row r="2284" spans="1:17" x14ac:dyDescent="0.3">
      <c r="A2284" s="1" t="str">
        <f t="shared" si="652"/>
        <v>ZC</v>
      </c>
      <c r="B2284" s="1" t="str">
        <f>"J0476"</f>
        <v>J0476</v>
      </c>
      <c r="C2284" s="1" t="str">
        <f>"식도게실"</f>
        <v>식도게실</v>
      </c>
      <c r="D2284" s="1" t="str">
        <f>"위내시경검사에서 식도 게실이 관찰됩니다. 식도 게실은 식도벽이 밖으로 늘어난 것으로 특별한 치료는 필요하지 않습니다. 음식물을 삼키는 데 특별한 문제가 없다면 2년 후 정기검사 받으시기 바랍니다."</f>
        <v>위내시경검사에서 식도 게실이 관찰됩니다. 식도 게실은 식도벽이 밖으로 늘어난 것으로 특별한 치료는 필요하지 않습니다. 음식물을 삼키는 데 특별한 문제가 없다면 2년 후 정기검사 받으시기 바랍니다.</v>
      </c>
      <c r="E2284" s="1" t="str">
        <f>""</f>
        <v/>
      </c>
      <c r="F2284" s="1" t="str">
        <f>""</f>
        <v/>
      </c>
      <c r="G2284" s="1" t="str">
        <f>""</f>
        <v/>
      </c>
      <c r="H2284" s="1" t="str">
        <f>""</f>
        <v/>
      </c>
      <c r="I2284" s="1" t="str">
        <f>""</f>
        <v/>
      </c>
      <c r="J2284" s="1" t="str">
        <f>""</f>
        <v/>
      </c>
      <c r="K2284" s="1" t="str">
        <f>""</f>
        <v/>
      </c>
      <c r="L2284" s="1" t="str">
        <f t="shared" si="653"/>
        <v>R</v>
      </c>
      <c r="M2284" s="1" t="str">
        <f>""</f>
        <v/>
      </c>
      <c r="N2284" s="1" t="str">
        <f t="shared" si="654"/>
        <v>Y</v>
      </c>
      <c r="O2284" s="1" t="str">
        <f t="shared" si="656"/>
        <v>Y</v>
      </c>
      <c r="P2284" s="1" t="str">
        <f t="shared" si="655"/>
        <v>Y</v>
      </c>
      <c r="Q2284" s="1" t="str">
        <f t="shared" si="657"/>
        <v>A</v>
      </c>
    </row>
    <row r="2285" spans="1:17" x14ac:dyDescent="0.3">
      <c r="A2285" s="1" t="str">
        <f t="shared" si="652"/>
        <v>ZC</v>
      </c>
      <c r="B2285" s="1" t="str">
        <f>"J0477"</f>
        <v>J0477</v>
      </c>
      <c r="C2285" s="1" t="str">
        <f>"십이지장게실"</f>
        <v>십이지장게실</v>
      </c>
      <c r="D2285" s="1" t="str">
        <f>"위내시경 검사에서 십이지장 게실이 관찰됩니다. 십이지장 게실은 십이지장 벽이 밖으로 늘어난 것으로 특별한 치료는 필요하지 않습니다. 2년 후 정기검사 받으시기 바랍니다."</f>
        <v>위내시경 검사에서 십이지장 게실이 관찰됩니다. 십이지장 게실은 십이지장 벽이 밖으로 늘어난 것으로 특별한 치료는 필요하지 않습니다. 2년 후 정기검사 받으시기 바랍니다.</v>
      </c>
      <c r="E2285" s="1" t="str">
        <f>""</f>
        <v/>
      </c>
      <c r="F2285" s="1" t="str">
        <f>""</f>
        <v/>
      </c>
      <c r="G2285" s="1" t="str">
        <f>""</f>
        <v/>
      </c>
      <c r="H2285" s="1" t="str">
        <f>""</f>
        <v/>
      </c>
      <c r="I2285" s="1" t="str">
        <f>""</f>
        <v/>
      </c>
      <c r="J2285" s="1" t="str">
        <f>""</f>
        <v/>
      </c>
      <c r="K2285" s="1" t="str">
        <f>""</f>
        <v/>
      </c>
      <c r="L2285" s="1" t="str">
        <f t="shared" si="653"/>
        <v>R</v>
      </c>
      <c r="M2285" s="1" t="str">
        <f>""</f>
        <v/>
      </c>
      <c r="N2285" s="1" t="str">
        <f t="shared" si="654"/>
        <v>Y</v>
      </c>
      <c r="O2285" s="1" t="str">
        <f t="shared" si="656"/>
        <v>Y</v>
      </c>
      <c r="P2285" s="1" t="str">
        <f t="shared" si="655"/>
        <v>Y</v>
      </c>
      <c r="Q2285" s="1" t="str">
        <f t="shared" si="657"/>
        <v>A</v>
      </c>
    </row>
    <row r="2286" spans="1:17" x14ac:dyDescent="0.3">
      <c r="A2286" s="1" t="str">
        <f t="shared" si="652"/>
        <v>ZC</v>
      </c>
      <c r="B2286" s="1" t="str">
        <f>"J0478"</f>
        <v>J0478</v>
      </c>
      <c r="C2286" s="1" t="str">
        <f>"식도 점막하종양"</f>
        <v>식도 점막하종양</v>
      </c>
      <c r="D2286" s="1" t="s">
        <v>705</v>
      </c>
      <c r="E2286" s="1" t="str">
        <f>""</f>
        <v/>
      </c>
      <c r="F2286" s="1" t="str">
        <f>""</f>
        <v/>
      </c>
      <c r="G2286" s="1" t="str">
        <f>""</f>
        <v/>
      </c>
      <c r="H2286" s="1" t="str">
        <f>""</f>
        <v/>
      </c>
      <c r="I2286" s="1" t="str">
        <f>""</f>
        <v/>
      </c>
      <c r="J2286" s="1" t="str">
        <f>""</f>
        <v/>
      </c>
      <c r="K2286" s="1" t="str">
        <f>""</f>
        <v/>
      </c>
      <c r="L2286" s="1" t="str">
        <f t="shared" si="653"/>
        <v>R</v>
      </c>
      <c r="M2286" s="1" t="str">
        <f>""</f>
        <v/>
      </c>
      <c r="N2286" s="1" t="str">
        <f t="shared" si="654"/>
        <v>Y</v>
      </c>
      <c r="O2286" s="1" t="str">
        <f t="shared" si="656"/>
        <v>Y</v>
      </c>
      <c r="P2286" s="1" t="str">
        <f t="shared" si="655"/>
        <v>Y</v>
      </c>
      <c r="Q2286" s="1" t="str">
        <f t="shared" si="657"/>
        <v>A</v>
      </c>
    </row>
    <row r="2287" spans="1:17" x14ac:dyDescent="0.3">
      <c r="A2287" s="1" t="str">
        <f t="shared" si="652"/>
        <v>ZC</v>
      </c>
      <c r="B2287" s="1" t="str">
        <f>"J0479"</f>
        <v>J0479</v>
      </c>
      <c r="C2287" s="1" t="str">
        <f>"십이지장 점막하종양"</f>
        <v>십이지장 점막하종양</v>
      </c>
      <c r="D2287" s="1" t="s">
        <v>706</v>
      </c>
      <c r="E2287" s="1" t="str">
        <f>""</f>
        <v/>
      </c>
      <c r="F2287" s="1" t="str">
        <f>""</f>
        <v/>
      </c>
      <c r="G2287" s="1" t="str">
        <f>""</f>
        <v/>
      </c>
      <c r="H2287" s="1" t="str">
        <f>""</f>
        <v/>
      </c>
      <c r="I2287" s="1" t="str">
        <f>""</f>
        <v/>
      </c>
      <c r="J2287" s="1" t="str">
        <f>""</f>
        <v/>
      </c>
      <c r="K2287" s="1" t="str">
        <f>""</f>
        <v/>
      </c>
      <c r="L2287" s="1" t="str">
        <f t="shared" si="653"/>
        <v>R</v>
      </c>
      <c r="M2287" s="1" t="str">
        <f>""</f>
        <v/>
      </c>
      <c r="N2287" s="1" t="str">
        <f t="shared" si="654"/>
        <v>Y</v>
      </c>
      <c r="O2287" s="1" t="str">
        <f t="shared" si="656"/>
        <v>Y</v>
      </c>
      <c r="P2287" s="1" t="str">
        <f t="shared" si="655"/>
        <v>Y</v>
      </c>
      <c r="Q2287" s="1" t="str">
        <f t="shared" si="657"/>
        <v>A</v>
      </c>
    </row>
    <row r="2288" spans="1:17" x14ac:dyDescent="0.3">
      <c r="A2288" s="1" t="str">
        <f t="shared" si="652"/>
        <v>ZC</v>
      </c>
      <c r="B2288" s="1" t="str">
        <f>"J0481"</f>
        <v>J0481</v>
      </c>
      <c r="C2288" s="1" t="str">
        <f>"이소성 위점막(식도)"</f>
        <v>이소성 위점막(식도)</v>
      </c>
      <c r="D2288" s="1" t="s">
        <v>707</v>
      </c>
      <c r="E2288" s="1" t="str">
        <f>""</f>
        <v/>
      </c>
      <c r="F2288" s="1" t="str">
        <f>""</f>
        <v/>
      </c>
      <c r="G2288" s="1" t="str">
        <f>""</f>
        <v/>
      </c>
      <c r="H2288" s="1" t="str">
        <f>""</f>
        <v/>
      </c>
      <c r="I2288" s="1" t="str">
        <f>""</f>
        <v/>
      </c>
      <c r="J2288" s="1" t="str">
        <f>""</f>
        <v/>
      </c>
      <c r="K2288" s="1" t="str">
        <f>""</f>
        <v/>
      </c>
      <c r="L2288" s="1" t="str">
        <f t="shared" si="653"/>
        <v>R</v>
      </c>
      <c r="M2288" s="1" t="str">
        <f>""</f>
        <v/>
      </c>
      <c r="N2288" s="1" t="str">
        <f t="shared" si="654"/>
        <v>Y</v>
      </c>
      <c r="O2288" s="1" t="str">
        <f t="shared" si="656"/>
        <v>Y</v>
      </c>
      <c r="P2288" s="1" t="str">
        <f t="shared" si="655"/>
        <v>Y</v>
      </c>
      <c r="Q2288" s="1" t="str">
        <f t="shared" si="657"/>
        <v>A</v>
      </c>
    </row>
    <row r="2289" spans="1:17" x14ac:dyDescent="0.3">
      <c r="A2289" s="1" t="str">
        <f t="shared" si="652"/>
        <v>ZC</v>
      </c>
      <c r="B2289" s="1" t="str">
        <f>"J0482"</f>
        <v>J0482</v>
      </c>
      <c r="C2289" s="1" t="str">
        <f>"이소성 위점막(십이지장)"</f>
        <v>이소성 위점막(십이지장)</v>
      </c>
      <c r="D2289" s="1" t="str">
        <f>"이소성 위점막이 십이지장에 관찰됩니다. 이는 염증 후에 또는 선천적으로 타고난 것으로 특별한 치료는 필요하지 않습니다. 정기 위내시경 검사 받으시기 바랍니다."</f>
        <v>이소성 위점막이 십이지장에 관찰됩니다. 이는 염증 후에 또는 선천적으로 타고난 것으로 특별한 치료는 필요하지 않습니다. 정기 위내시경 검사 받으시기 바랍니다.</v>
      </c>
      <c r="E2289" s="1" t="str">
        <f>""</f>
        <v/>
      </c>
      <c r="F2289" s="1" t="str">
        <f>""</f>
        <v/>
      </c>
      <c r="G2289" s="1" t="str">
        <f>""</f>
        <v/>
      </c>
      <c r="H2289" s="1" t="str">
        <f>""</f>
        <v/>
      </c>
      <c r="I2289" s="1" t="str">
        <f>""</f>
        <v/>
      </c>
      <c r="J2289" s="1" t="str">
        <f>""</f>
        <v/>
      </c>
      <c r="K2289" s="1" t="str">
        <f>""</f>
        <v/>
      </c>
      <c r="L2289" s="1" t="str">
        <f t="shared" si="653"/>
        <v>R</v>
      </c>
      <c r="M2289" s="1" t="str">
        <f>""</f>
        <v/>
      </c>
      <c r="N2289" s="1" t="str">
        <f t="shared" si="654"/>
        <v>Y</v>
      </c>
      <c r="O2289" s="1" t="str">
        <f t="shared" si="656"/>
        <v>Y</v>
      </c>
      <c r="P2289" s="1" t="str">
        <f t="shared" si="655"/>
        <v>Y</v>
      </c>
      <c r="Q2289" s="1" t="str">
        <f t="shared" si="657"/>
        <v>A</v>
      </c>
    </row>
    <row r="2290" spans="1:17" x14ac:dyDescent="0.3">
      <c r="A2290" s="1" t="str">
        <f t="shared" si="652"/>
        <v>ZC</v>
      </c>
      <c r="B2290" s="1" t="str">
        <f>"J0483"</f>
        <v>J0483</v>
      </c>
      <c r="C2290" s="1" t="str">
        <f>"이상소견"</f>
        <v>이상소견</v>
      </c>
      <c r="D2290" s="1" t="str">
        <f>"위내시경검사에서"</f>
        <v>위내시경검사에서</v>
      </c>
      <c r="E2290" s="1" t="str">
        <f>""</f>
        <v/>
      </c>
      <c r="F2290" s="1" t="str">
        <f>""</f>
        <v/>
      </c>
      <c r="G2290" s="1" t="str">
        <f>""</f>
        <v/>
      </c>
      <c r="H2290" s="1" t="str">
        <f>""</f>
        <v/>
      </c>
      <c r="I2290" s="1" t="str">
        <f>""</f>
        <v/>
      </c>
      <c r="J2290" s="1" t="str">
        <f>""</f>
        <v/>
      </c>
      <c r="K2290" s="1" t="str">
        <f>""</f>
        <v/>
      </c>
      <c r="L2290" s="1" t="str">
        <f t="shared" si="653"/>
        <v>R</v>
      </c>
      <c r="M2290" s="1" t="str">
        <f>""</f>
        <v/>
      </c>
      <c r="N2290" s="1" t="str">
        <f t="shared" si="654"/>
        <v>Y</v>
      </c>
      <c r="O2290" s="1" t="str">
        <f t="shared" si="656"/>
        <v>Y</v>
      </c>
      <c r="P2290" s="1" t="str">
        <f t="shared" si="655"/>
        <v>Y</v>
      </c>
      <c r="Q2290" s="1" t="str">
        <f t="shared" si="657"/>
        <v>A</v>
      </c>
    </row>
    <row r="2291" spans="1:17" x14ac:dyDescent="0.3">
      <c r="A2291" s="1" t="str">
        <f t="shared" si="652"/>
        <v>ZC</v>
      </c>
      <c r="B2291" s="1" t="str">
        <f>"PUL419"</f>
        <v>PUL419</v>
      </c>
      <c r="C2291" s="1" t="str">
        <f>"갑상선 종양"</f>
        <v>갑상선 종양</v>
      </c>
      <c r="D2291" s="1" t="str">
        <f>"정확한 진단을 및 치료를 위해 일반외과 진료를 요합니다."</f>
        <v>정확한 진단을 및 치료를 위해 일반외과 진료를 요합니다.</v>
      </c>
      <c r="E2291" s="1" t="str">
        <f>"WOK03"</f>
        <v>WOK03</v>
      </c>
      <c r="F2291" s="1" t="str">
        <f>"PTM04"</f>
        <v>PTM04</v>
      </c>
      <c r="G2291" s="1" t="str">
        <f>"DISC"</f>
        <v>DISC</v>
      </c>
      <c r="H2291" s="1" t="str">
        <f>"REL23"</f>
        <v>REL23</v>
      </c>
      <c r="I2291" s="1" t="str">
        <f>""</f>
        <v/>
      </c>
      <c r="J2291" s="1" t="str">
        <f>""</f>
        <v/>
      </c>
      <c r="K2291" s="1" t="str">
        <f>""</f>
        <v/>
      </c>
      <c r="L2291" s="1" t="str">
        <f t="shared" si="653"/>
        <v>R</v>
      </c>
      <c r="M2291" s="1" t="str">
        <f>""</f>
        <v/>
      </c>
      <c r="N2291" s="1" t="str">
        <f t="shared" si="654"/>
        <v>Y</v>
      </c>
      <c r="O2291" s="1" t="str">
        <f t="shared" si="656"/>
        <v>Y</v>
      </c>
      <c r="P2291" s="1" t="str">
        <f t="shared" si="655"/>
        <v>Y</v>
      </c>
      <c r="Q2291" s="1" t="str">
        <f t="shared" si="657"/>
        <v>A</v>
      </c>
    </row>
    <row r="2292" spans="1:17" x14ac:dyDescent="0.3">
      <c r="A2292" s="1" t="str">
        <f t="shared" si="652"/>
        <v>ZC</v>
      </c>
      <c r="B2292" s="1" t="str">
        <f>"RU4092"</f>
        <v>RU4092</v>
      </c>
      <c r="C2292" s="1" t="str">
        <f>"전립선 비대증"</f>
        <v>전립선 비대증</v>
      </c>
      <c r="D2292" s="1" t="s">
        <v>708</v>
      </c>
      <c r="E2292" s="1" t="str">
        <f>""</f>
        <v/>
      </c>
      <c r="F2292" s="1" t="str">
        <f>""</f>
        <v/>
      </c>
      <c r="G2292" s="1" t="str">
        <f>""</f>
        <v/>
      </c>
      <c r="H2292" s="1" t="str">
        <f>""</f>
        <v/>
      </c>
      <c r="I2292" s="1" t="str">
        <f>""</f>
        <v/>
      </c>
      <c r="J2292" s="1" t="str">
        <f>""</f>
        <v/>
      </c>
      <c r="K2292" s="1" t="str">
        <f>""</f>
        <v/>
      </c>
      <c r="L2292" s="1" t="str">
        <f t="shared" si="653"/>
        <v>R</v>
      </c>
      <c r="M2292" s="1" t="str">
        <f>""</f>
        <v/>
      </c>
      <c r="N2292" s="1" t="str">
        <f t="shared" si="654"/>
        <v>Y</v>
      </c>
      <c r="O2292" s="1" t="str">
        <f t="shared" si="656"/>
        <v>Y</v>
      </c>
      <c r="P2292" s="1" t="str">
        <f t="shared" si="655"/>
        <v>Y</v>
      </c>
      <c r="Q2292" s="1" t="str">
        <f t="shared" si="657"/>
        <v>A</v>
      </c>
    </row>
    <row r="2293" spans="1:17" x14ac:dyDescent="0.3">
      <c r="A2293" s="1" t="str">
        <f t="shared" si="652"/>
        <v>ZC</v>
      </c>
      <c r="B2293" s="1" t="str">
        <f>"RU4093"</f>
        <v>RU4093</v>
      </c>
      <c r="C2293" s="1" t="str">
        <f>"전립선 석회화"</f>
        <v>전립선 석회화</v>
      </c>
      <c r="D2293" s="1" t="s">
        <v>709</v>
      </c>
      <c r="E2293" s="1" t="str">
        <f>""</f>
        <v/>
      </c>
      <c r="F2293" s="1" t="str">
        <f>""</f>
        <v/>
      </c>
      <c r="G2293" s="1" t="str">
        <f>""</f>
        <v/>
      </c>
      <c r="H2293" s="1" t="str">
        <f>""</f>
        <v/>
      </c>
      <c r="I2293" s="1" t="str">
        <f>""</f>
        <v/>
      </c>
      <c r="J2293" s="1" t="str">
        <f>""</f>
        <v/>
      </c>
      <c r="K2293" s="1" t="str">
        <f>""</f>
        <v/>
      </c>
      <c r="L2293" s="1" t="str">
        <f t="shared" si="653"/>
        <v>R</v>
      </c>
      <c r="M2293" s="1" t="str">
        <f>""</f>
        <v/>
      </c>
      <c r="N2293" s="1" t="str">
        <f t="shared" si="654"/>
        <v>Y</v>
      </c>
      <c r="O2293" s="1" t="str">
        <f t="shared" si="656"/>
        <v>Y</v>
      </c>
      <c r="P2293" s="1" t="str">
        <f t="shared" si="655"/>
        <v>Y</v>
      </c>
      <c r="Q2293" s="1" t="str">
        <f t="shared" si="657"/>
        <v>A</v>
      </c>
    </row>
    <row r="2294" spans="1:17" x14ac:dyDescent="0.3">
      <c r="A2294" s="1" t="str">
        <f t="shared" si="652"/>
        <v>ZC</v>
      </c>
      <c r="B2294" s="1" t="str">
        <f>"RU4094"</f>
        <v>RU4094</v>
      </c>
      <c r="C2294" s="1" t="str">
        <f>"전립선 낭종"</f>
        <v>전립선 낭종</v>
      </c>
      <c r="D2294" s="1" t="s">
        <v>710</v>
      </c>
      <c r="E2294" s="1" t="str">
        <f>""</f>
        <v/>
      </c>
      <c r="F2294" s="1" t="str">
        <f>""</f>
        <v/>
      </c>
      <c r="G2294" s="1" t="str">
        <f>""</f>
        <v/>
      </c>
      <c r="H2294" s="1" t="str">
        <f>""</f>
        <v/>
      </c>
      <c r="I2294" s="1" t="str">
        <f>""</f>
        <v/>
      </c>
      <c r="J2294" s="1" t="str">
        <f>""</f>
        <v/>
      </c>
      <c r="K2294" s="1" t="str">
        <f>""</f>
        <v/>
      </c>
      <c r="L2294" s="1" t="str">
        <f t="shared" si="653"/>
        <v>R</v>
      </c>
      <c r="M2294" s="1" t="str">
        <f>""</f>
        <v/>
      </c>
      <c r="N2294" s="1" t="str">
        <f t="shared" si="654"/>
        <v>Y</v>
      </c>
      <c r="O2294" s="1" t="str">
        <f t="shared" si="656"/>
        <v>Y</v>
      </c>
      <c r="P2294" s="1" t="str">
        <f t="shared" si="655"/>
        <v>Y</v>
      </c>
      <c r="Q2294" s="1" t="str">
        <f t="shared" si="657"/>
        <v>A</v>
      </c>
    </row>
    <row r="2295" spans="1:17" x14ac:dyDescent="0.3">
      <c r="A2295" s="1" t="str">
        <f t="shared" si="652"/>
        <v>ZC</v>
      </c>
      <c r="B2295" s="1" t="str">
        <f>"RU4095"</f>
        <v>RU4095</v>
      </c>
      <c r="C2295" s="1" t="str">
        <f>"전립선염 흔적"</f>
        <v>전립선염 흔적</v>
      </c>
      <c r="D2295" s="1" t="s">
        <v>711</v>
      </c>
      <c r="E2295" s="1" t="str">
        <f>""</f>
        <v/>
      </c>
      <c r="F2295" s="1" t="str">
        <f>""</f>
        <v/>
      </c>
      <c r="G2295" s="1" t="str">
        <f>""</f>
        <v/>
      </c>
      <c r="H2295" s="1" t="str">
        <f>""</f>
        <v/>
      </c>
      <c r="I2295" s="1" t="str">
        <f>""</f>
        <v/>
      </c>
      <c r="J2295" s="1" t="str">
        <f>""</f>
        <v/>
      </c>
      <c r="K2295" s="1" t="str">
        <f>""</f>
        <v/>
      </c>
      <c r="L2295" s="1" t="str">
        <f t="shared" si="653"/>
        <v>R</v>
      </c>
      <c r="M2295" s="1" t="str">
        <f>""</f>
        <v/>
      </c>
      <c r="N2295" s="1" t="str">
        <f t="shared" si="654"/>
        <v>Y</v>
      </c>
      <c r="O2295" s="1" t="str">
        <f t="shared" si="656"/>
        <v>Y</v>
      </c>
      <c r="P2295" s="1" t="str">
        <f t="shared" si="655"/>
        <v>Y</v>
      </c>
      <c r="Q2295" s="1" t="str">
        <f t="shared" si="657"/>
        <v>A</v>
      </c>
    </row>
    <row r="2296" spans="1:17" x14ac:dyDescent="0.3">
      <c r="A2296" s="1" t="str">
        <f t="shared" ref="A2296:A2359" si="658">"ZC"</f>
        <v>ZC</v>
      </c>
      <c r="B2296" s="1" t="str">
        <f>"SON202"</f>
        <v>SON202</v>
      </c>
      <c r="C2296" s="1" t="str">
        <f>"상복부초음파검사상 경도의 지방간"</f>
        <v>상복부초음파검사상 경도의 지방간</v>
      </c>
      <c r="D2296" s="1" t="s">
        <v>712</v>
      </c>
      <c r="E2296" s="1" t="str">
        <f t="shared" ref="E2296:E2304" si="659">"WOK02"</f>
        <v>WOK02</v>
      </c>
      <c r="F2296" s="1" t="str">
        <f>""</f>
        <v/>
      </c>
      <c r="G2296" s="1" t="str">
        <f t="shared" ref="G2296:G2304" si="660">"DISK"</f>
        <v>DISK</v>
      </c>
      <c r="H2296" s="1" t="str">
        <f t="shared" ref="H2296:H2304" si="661">"REL05"</f>
        <v>REL05</v>
      </c>
      <c r="I2296" s="1" t="str">
        <f>""</f>
        <v/>
      </c>
      <c r="J2296" s="1" t="str">
        <f t="shared" ref="J2296:K2298" si="662">"C05C"</f>
        <v>C05C</v>
      </c>
      <c r="K2296" s="1" t="str">
        <f t="shared" si="662"/>
        <v>C05C</v>
      </c>
      <c r="L2296" s="1" t="str">
        <f t="shared" ref="L2296:L2359" si="663">"R"</f>
        <v>R</v>
      </c>
      <c r="M2296" s="1" t="str">
        <f t="shared" ref="M2296:M2304" si="664">"T02"</f>
        <v>T02</v>
      </c>
      <c r="N2296" s="1" t="str">
        <f t="shared" ref="N2296:N2359" si="665">"Y"</f>
        <v>Y</v>
      </c>
      <c r="O2296" s="1" t="str">
        <f t="shared" si="656"/>
        <v>Y</v>
      </c>
      <c r="P2296" s="1" t="str">
        <f t="shared" si="655"/>
        <v>Y</v>
      </c>
      <c r="Q2296" s="1" t="str">
        <f t="shared" si="657"/>
        <v>A</v>
      </c>
    </row>
    <row r="2297" spans="1:17" x14ac:dyDescent="0.3">
      <c r="A2297" s="1" t="str">
        <f t="shared" si="658"/>
        <v>ZC</v>
      </c>
      <c r="B2297" s="1" t="str">
        <f>"SON301"</f>
        <v>SON301</v>
      </c>
      <c r="C2297" s="1" t="str">
        <f>"상복부초음파검사상 지방간"</f>
        <v>상복부초음파검사상 지방간</v>
      </c>
      <c r="D2297" s="1" t="str">
        <f>"지방간의 가장 큰 원인은 음주와 비만 입니다. 금주하시고 운동 및 식이요법으로 체중감량을 하세요."</f>
        <v>지방간의 가장 큰 원인은 음주와 비만 입니다. 금주하시고 운동 및 식이요법으로 체중감량을 하세요.</v>
      </c>
      <c r="E2297" s="1" t="str">
        <f t="shared" si="659"/>
        <v>WOK02</v>
      </c>
      <c r="F2297" s="1" t="str">
        <f>""</f>
        <v/>
      </c>
      <c r="G2297" s="1" t="str">
        <f t="shared" si="660"/>
        <v>DISK</v>
      </c>
      <c r="H2297" s="1" t="str">
        <f t="shared" si="661"/>
        <v>REL05</v>
      </c>
      <c r="I2297" s="1" t="str">
        <f>""</f>
        <v/>
      </c>
      <c r="J2297" s="1" t="str">
        <f t="shared" si="662"/>
        <v>C05C</v>
      </c>
      <c r="K2297" s="1" t="str">
        <f t="shared" si="662"/>
        <v>C05C</v>
      </c>
      <c r="L2297" s="1" t="str">
        <f t="shared" si="663"/>
        <v>R</v>
      </c>
      <c r="M2297" s="1" t="str">
        <f t="shared" si="664"/>
        <v>T02</v>
      </c>
      <c r="N2297" s="1" t="str">
        <f t="shared" si="665"/>
        <v>Y</v>
      </c>
      <c r="O2297" s="1" t="str">
        <f t="shared" si="656"/>
        <v>Y</v>
      </c>
      <c r="P2297" s="1" t="str">
        <f t="shared" si="655"/>
        <v>Y</v>
      </c>
      <c r="Q2297" s="1" t="str">
        <f t="shared" si="657"/>
        <v>A</v>
      </c>
    </row>
    <row r="2298" spans="1:17" x14ac:dyDescent="0.3">
      <c r="A2298" s="1" t="str">
        <f t="shared" si="658"/>
        <v>ZC</v>
      </c>
      <c r="B2298" s="1" t="str">
        <f>"SON302"</f>
        <v>SON302</v>
      </c>
      <c r="C2298" s="1" t="str">
        <f>"상복부초음파검사상 중등도 지방간"</f>
        <v>상복부초음파검사상 중등도 지방간</v>
      </c>
      <c r="D2298" s="1" t="s">
        <v>713</v>
      </c>
      <c r="E2298" s="1" t="str">
        <f t="shared" si="659"/>
        <v>WOK02</v>
      </c>
      <c r="F2298" s="1" t="str">
        <f>""</f>
        <v/>
      </c>
      <c r="G2298" s="1" t="str">
        <f t="shared" si="660"/>
        <v>DISK</v>
      </c>
      <c r="H2298" s="1" t="str">
        <f t="shared" si="661"/>
        <v>REL05</v>
      </c>
      <c r="I2298" s="1" t="str">
        <f>""</f>
        <v/>
      </c>
      <c r="J2298" s="1" t="str">
        <f t="shared" si="662"/>
        <v>C05C</v>
      </c>
      <c r="K2298" s="1" t="str">
        <f t="shared" si="662"/>
        <v>C05C</v>
      </c>
      <c r="L2298" s="1" t="str">
        <f t="shared" si="663"/>
        <v>R</v>
      </c>
      <c r="M2298" s="1" t="str">
        <f t="shared" si="664"/>
        <v>T02</v>
      </c>
      <c r="N2298" s="1" t="str">
        <f t="shared" si="665"/>
        <v>Y</v>
      </c>
      <c r="O2298" s="1" t="str">
        <f t="shared" si="656"/>
        <v>Y</v>
      </c>
      <c r="P2298" s="1" t="str">
        <f t="shared" si="655"/>
        <v>Y</v>
      </c>
      <c r="Q2298" s="1" t="str">
        <f t="shared" si="657"/>
        <v>A</v>
      </c>
    </row>
    <row r="2299" spans="1:17" x14ac:dyDescent="0.3">
      <c r="A2299" s="1" t="str">
        <f t="shared" si="658"/>
        <v>ZC</v>
      </c>
      <c r="B2299" s="1" t="str">
        <f>"SON303"</f>
        <v>SON303</v>
      </c>
      <c r="C2299" s="1" t="str">
        <f>"상복부초음파검사상 만성간질환 의심"</f>
        <v>상복부초음파검사상 만성간질환 의심</v>
      </c>
      <c r="D2299" s="1" t="str">
        <f>"만성간질환으로 보입니다. 간질환에 대한 치료가 필요하오니 의료기관을 방문하시어 소화기내과 진료를 받으시기 바랍니다."</f>
        <v>만성간질환으로 보입니다. 간질환에 대한 치료가 필요하오니 의료기관을 방문하시어 소화기내과 진료를 받으시기 바랍니다.</v>
      </c>
      <c r="E2299" s="1" t="str">
        <f t="shared" si="659"/>
        <v>WOK02</v>
      </c>
      <c r="F2299" s="1" t="str">
        <f>""</f>
        <v/>
      </c>
      <c r="G2299" s="1" t="str">
        <f t="shared" si="660"/>
        <v>DISK</v>
      </c>
      <c r="H2299" s="1" t="str">
        <f t="shared" si="661"/>
        <v>REL05</v>
      </c>
      <c r="I2299" s="1" t="str">
        <f>""</f>
        <v/>
      </c>
      <c r="J2299" s="1" t="str">
        <f>"C05D"</f>
        <v>C05D</v>
      </c>
      <c r="K2299" s="1" t="str">
        <f>"C05D"</f>
        <v>C05D</v>
      </c>
      <c r="L2299" s="1" t="str">
        <f t="shared" si="663"/>
        <v>R</v>
      </c>
      <c r="M2299" s="1" t="str">
        <f t="shared" si="664"/>
        <v>T02</v>
      </c>
      <c r="N2299" s="1" t="str">
        <f t="shared" si="665"/>
        <v>Y</v>
      </c>
      <c r="O2299" s="1" t="str">
        <f t="shared" si="656"/>
        <v>Y</v>
      </c>
      <c r="P2299" s="1" t="str">
        <f t="shared" si="655"/>
        <v>Y</v>
      </c>
      <c r="Q2299" s="1" t="str">
        <f t="shared" si="657"/>
        <v>A</v>
      </c>
    </row>
    <row r="2300" spans="1:17" x14ac:dyDescent="0.3">
      <c r="A2300" s="1" t="str">
        <f t="shared" si="658"/>
        <v>ZC</v>
      </c>
      <c r="B2300" s="1" t="str">
        <f>"SON304"</f>
        <v>SON304</v>
      </c>
      <c r="C2300" s="1" t="str">
        <f>"상복부초음파검사상 간내석회화"</f>
        <v>상복부초음파검사상 간내석회화</v>
      </c>
      <c r="D2300" s="1" t="s">
        <v>714</v>
      </c>
      <c r="E2300" s="1" t="str">
        <f t="shared" si="659"/>
        <v>WOK02</v>
      </c>
      <c r="F2300" s="1" t="str">
        <f>""</f>
        <v/>
      </c>
      <c r="G2300" s="1" t="str">
        <f t="shared" si="660"/>
        <v>DISK</v>
      </c>
      <c r="H2300" s="1" t="str">
        <f t="shared" si="661"/>
        <v>REL05</v>
      </c>
      <c r="I2300" s="1" t="str">
        <f>""</f>
        <v/>
      </c>
      <c r="J2300" s="1" t="str">
        <f t="shared" ref="J2300:K2304" si="666">"C05C"</f>
        <v>C05C</v>
      </c>
      <c r="K2300" s="1" t="str">
        <f t="shared" si="666"/>
        <v>C05C</v>
      </c>
      <c r="L2300" s="1" t="str">
        <f t="shared" si="663"/>
        <v>R</v>
      </c>
      <c r="M2300" s="1" t="str">
        <f t="shared" si="664"/>
        <v>T02</v>
      </c>
      <c r="N2300" s="1" t="str">
        <f t="shared" si="665"/>
        <v>Y</v>
      </c>
      <c r="O2300" s="1" t="str">
        <f t="shared" si="656"/>
        <v>Y</v>
      </c>
      <c r="P2300" s="1" t="str">
        <f t="shared" si="655"/>
        <v>Y</v>
      </c>
      <c r="Q2300" s="1" t="str">
        <f t="shared" si="657"/>
        <v>A</v>
      </c>
    </row>
    <row r="2301" spans="1:17" x14ac:dyDescent="0.3">
      <c r="A2301" s="1" t="str">
        <f t="shared" si="658"/>
        <v>ZC</v>
      </c>
      <c r="B2301" s="1" t="str">
        <f>"SON305"</f>
        <v>SON305</v>
      </c>
      <c r="C2301" s="1" t="str">
        <f>"상복부초음파검사상 간낭종"</f>
        <v>상복부초음파검사상 간낭종</v>
      </c>
      <c r="D2301" s="1" t="str">
        <f>"간에 생긴 물혹으로 건강에 나쁜 영향을 미치지 않으나 변화 여부를 알아보기 위해 6개월 후 추적 초음파검사 요함"</f>
        <v>간에 생긴 물혹으로 건강에 나쁜 영향을 미치지 않으나 변화 여부를 알아보기 위해 6개월 후 추적 초음파검사 요함</v>
      </c>
      <c r="E2301" s="1" t="str">
        <f t="shared" si="659"/>
        <v>WOK02</v>
      </c>
      <c r="F2301" s="1" t="str">
        <f>""</f>
        <v/>
      </c>
      <c r="G2301" s="1" t="str">
        <f t="shared" si="660"/>
        <v>DISK</v>
      </c>
      <c r="H2301" s="1" t="str">
        <f t="shared" si="661"/>
        <v>REL05</v>
      </c>
      <c r="I2301" s="1" t="str">
        <f>""</f>
        <v/>
      </c>
      <c r="J2301" s="1" t="str">
        <f t="shared" si="666"/>
        <v>C05C</v>
      </c>
      <c r="K2301" s="1" t="str">
        <f t="shared" si="666"/>
        <v>C05C</v>
      </c>
      <c r="L2301" s="1" t="str">
        <f t="shared" si="663"/>
        <v>R</v>
      </c>
      <c r="M2301" s="1" t="str">
        <f t="shared" si="664"/>
        <v>T02</v>
      </c>
      <c r="N2301" s="1" t="str">
        <f t="shared" si="665"/>
        <v>Y</v>
      </c>
      <c r="O2301" s="1" t="str">
        <f t="shared" si="656"/>
        <v>Y</v>
      </c>
      <c r="P2301" s="1" t="str">
        <f t="shared" si="655"/>
        <v>Y</v>
      </c>
      <c r="Q2301" s="1" t="str">
        <f t="shared" si="657"/>
        <v>A</v>
      </c>
    </row>
    <row r="2302" spans="1:17" x14ac:dyDescent="0.3">
      <c r="A2302" s="1" t="str">
        <f t="shared" si="658"/>
        <v>ZC</v>
      </c>
      <c r="B2302" s="1" t="str">
        <f>"SON309"</f>
        <v>SON309</v>
      </c>
      <c r="C2302" s="1" t="str">
        <f>"상복부초음파검사상 담낭용종"</f>
        <v>상복부초음파검사상 담낭용종</v>
      </c>
      <c r="D2302" s="1" t="s">
        <v>715</v>
      </c>
      <c r="E2302" s="1" t="str">
        <f t="shared" si="659"/>
        <v>WOK02</v>
      </c>
      <c r="F2302" s="1" t="str">
        <f>""</f>
        <v/>
      </c>
      <c r="G2302" s="1" t="str">
        <f t="shared" si="660"/>
        <v>DISK</v>
      </c>
      <c r="H2302" s="1" t="str">
        <f t="shared" si="661"/>
        <v>REL05</v>
      </c>
      <c r="I2302" s="1" t="str">
        <f>""</f>
        <v/>
      </c>
      <c r="J2302" s="1" t="str">
        <f t="shared" si="666"/>
        <v>C05C</v>
      </c>
      <c r="K2302" s="1" t="str">
        <f t="shared" si="666"/>
        <v>C05C</v>
      </c>
      <c r="L2302" s="1" t="str">
        <f t="shared" si="663"/>
        <v>R</v>
      </c>
      <c r="M2302" s="1" t="str">
        <f t="shared" si="664"/>
        <v>T02</v>
      </c>
      <c r="N2302" s="1" t="str">
        <f t="shared" si="665"/>
        <v>Y</v>
      </c>
      <c r="O2302" s="1" t="str">
        <f t="shared" si="656"/>
        <v>Y</v>
      </c>
      <c r="P2302" s="1" t="str">
        <f t="shared" si="655"/>
        <v>Y</v>
      </c>
      <c r="Q2302" s="1" t="str">
        <f t="shared" si="657"/>
        <v>A</v>
      </c>
    </row>
    <row r="2303" spans="1:17" x14ac:dyDescent="0.3">
      <c r="A2303" s="1" t="str">
        <f t="shared" si="658"/>
        <v>ZC</v>
      </c>
      <c r="B2303" s="1" t="str">
        <f>"SON310"</f>
        <v>SON310</v>
      </c>
      <c r="C2303" s="1" t="str">
        <f>"상복부초음파검사상 간혈관종"</f>
        <v>상복부초음파검사상 간혈관종</v>
      </c>
      <c r="D2303" s="1" t="s">
        <v>716</v>
      </c>
      <c r="E2303" s="1" t="str">
        <f t="shared" si="659"/>
        <v>WOK02</v>
      </c>
      <c r="F2303" s="1" t="str">
        <f>""</f>
        <v/>
      </c>
      <c r="G2303" s="1" t="str">
        <f t="shared" si="660"/>
        <v>DISK</v>
      </c>
      <c r="H2303" s="1" t="str">
        <f t="shared" si="661"/>
        <v>REL05</v>
      </c>
      <c r="I2303" s="1" t="str">
        <f>""</f>
        <v/>
      </c>
      <c r="J2303" s="1" t="str">
        <f t="shared" si="666"/>
        <v>C05C</v>
      </c>
      <c r="K2303" s="1" t="str">
        <f t="shared" si="666"/>
        <v>C05C</v>
      </c>
      <c r="L2303" s="1" t="str">
        <f t="shared" si="663"/>
        <v>R</v>
      </c>
      <c r="M2303" s="1" t="str">
        <f t="shared" si="664"/>
        <v>T02</v>
      </c>
      <c r="N2303" s="1" t="str">
        <f t="shared" si="665"/>
        <v>Y</v>
      </c>
      <c r="O2303" s="1" t="str">
        <f t="shared" si="656"/>
        <v>Y</v>
      </c>
      <c r="P2303" s="1" t="str">
        <f t="shared" si="655"/>
        <v>Y</v>
      </c>
      <c r="Q2303" s="1" t="str">
        <f t="shared" si="657"/>
        <v>A</v>
      </c>
    </row>
    <row r="2304" spans="1:17" x14ac:dyDescent="0.3">
      <c r="A2304" s="1" t="str">
        <f t="shared" si="658"/>
        <v>ZC</v>
      </c>
      <c r="B2304" s="1" t="str">
        <f>"SON311"</f>
        <v>SON311</v>
      </c>
      <c r="C2304" s="1" t="str">
        <f>"상복부초음파검사상 담관내 담석증"</f>
        <v>상복부초음파검사상 담관내 담석증</v>
      </c>
      <c r="D2304" s="1" t="s">
        <v>717</v>
      </c>
      <c r="E2304" s="1" t="str">
        <f t="shared" si="659"/>
        <v>WOK02</v>
      </c>
      <c r="F2304" s="1" t="str">
        <f>""</f>
        <v/>
      </c>
      <c r="G2304" s="1" t="str">
        <f t="shared" si="660"/>
        <v>DISK</v>
      </c>
      <c r="H2304" s="1" t="str">
        <f t="shared" si="661"/>
        <v>REL05</v>
      </c>
      <c r="I2304" s="1" t="str">
        <f>""</f>
        <v/>
      </c>
      <c r="J2304" s="1" t="str">
        <f t="shared" si="666"/>
        <v>C05C</v>
      </c>
      <c r="K2304" s="1" t="str">
        <f t="shared" si="666"/>
        <v>C05C</v>
      </c>
      <c r="L2304" s="1" t="str">
        <f t="shared" si="663"/>
        <v>R</v>
      </c>
      <c r="M2304" s="1" t="str">
        <f t="shared" si="664"/>
        <v>T02</v>
      </c>
      <c r="N2304" s="1" t="str">
        <f t="shared" si="665"/>
        <v>Y</v>
      </c>
      <c r="O2304" s="1" t="str">
        <f t="shared" si="656"/>
        <v>Y</v>
      </c>
      <c r="P2304" s="1" t="str">
        <f t="shared" si="655"/>
        <v>Y</v>
      </c>
      <c r="Q2304" s="1" t="str">
        <f t="shared" si="657"/>
        <v>A</v>
      </c>
    </row>
    <row r="2305" spans="1:17" x14ac:dyDescent="0.3">
      <c r="A2305" s="1" t="str">
        <f t="shared" si="658"/>
        <v>ZC</v>
      </c>
      <c r="B2305" s="1" t="str">
        <f>"TESTOS2"</f>
        <v>TESTOS2</v>
      </c>
      <c r="C2305" s="1" t="str">
        <f>"남성호르몬 부족"</f>
        <v>남성호르몬 부족</v>
      </c>
      <c r="D2305" s="1" t="str">
        <f>"남성호르몬(Testosterone) 검사 결과 호르몬이 부족합니다."</f>
        <v>남성호르몬(Testosterone) 검사 결과 호르몬이 부족합니다.</v>
      </c>
      <c r="E2305" s="1" t="str">
        <f>""</f>
        <v/>
      </c>
      <c r="F2305" s="1" t="str">
        <f>""</f>
        <v/>
      </c>
      <c r="G2305" s="1" t="str">
        <f>""</f>
        <v/>
      </c>
      <c r="H2305" s="1" t="str">
        <f>""</f>
        <v/>
      </c>
      <c r="I2305" s="1" t="str">
        <f>""</f>
        <v/>
      </c>
      <c r="J2305" s="1" t="str">
        <f>""</f>
        <v/>
      </c>
      <c r="K2305" s="1" t="str">
        <f>""</f>
        <v/>
      </c>
      <c r="L2305" s="1" t="str">
        <f t="shared" si="663"/>
        <v>R</v>
      </c>
      <c r="M2305" s="1" t="str">
        <f>""</f>
        <v/>
      </c>
      <c r="N2305" s="1" t="str">
        <f t="shared" si="665"/>
        <v>Y</v>
      </c>
      <c r="O2305" s="1" t="str">
        <f t="shared" si="656"/>
        <v>Y</v>
      </c>
      <c r="P2305" s="1" t="str">
        <f t="shared" si="655"/>
        <v>Y</v>
      </c>
      <c r="Q2305" s="1" t="str">
        <f t="shared" si="657"/>
        <v>A</v>
      </c>
    </row>
    <row r="2306" spans="1:17" x14ac:dyDescent="0.3">
      <c r="A2306" s="1" t="str">
        <f t="shared" si="658"/>
        <v>ZC</v>
      </c>
      <c r="B2306" s="1" t="str">
        <f>"TESTOS3"</f>
        <v>TESTOS3</v>
      </c>
      <c r="C2306" s="1" t="str">
        <f>"남성호르몬 과다"</f>
        <v>남성호르몬 과다</v>
      </c>
      <c r="D2306" s="1" t="str">
        <f>"남성호르몬(Testosterone) 검사 결과 호르몬이 많습니다."</f>
        <v>남성호르몬(Testosterone) 검사 결과 호르몬이 많습니다.</v>
      </c>
      <c r="E2306" s="1" t="str">
        <f>""</f>
        <v/>
      </c>
      <c r="F2306" s="1" t="str">
        <f>""</f>
        <v/>
      </c>
      <c r="G2306" s="1" t="str">
        <f>""</f>
        <v/>
      </c>
      <c r="H2306" s="1" t="str">
        <f>""</f>
        <v/>
      </c>
      <c r="I2306" s="1" t="str">
        <f>""</f>
        <v/>
      </c>
      <c r="J2306" s="1" t="str">
        <f>""</f>
        <v/>
      </c>
      <c r="K2306" s="1" t="str">
        <f>""</f>
        <v/>
      </c>
      <c r="L2306" s="1" t="str">
        <f t="shared" si="663"/>
        <v>R</v>
      </c>
      <c r="M2306" s="1" t="str">
        <f>""</f>
        <v/>
      </c>
      <c r="N2306" s="1" t="str">
        <f t="shared" si="665"/>
        <v>Y</v>
      </c>
      <c r="O2306" s="1" t="str">
        <f t="shared" si="656"/>
        <v>Y</v>
      </c>
      <c r="P2306" s="1" t="str">
        <f t="shared" si="655"/>
        <v>Y</v>
      </c>
      <c r="Q2306" s="1" t="str">
        <f t="shared" si="657"/>
        <v>A</v>
      </c>
    </row>
    <row r="2307" spans="1:17" x14ac:dyDescent="0.3">
      <c r="A2307" s="1" t="str">
        <f t="shared" si="658"/>
        <v>ZC</v>
      </c>
      <c r="B2307" s="1" t="str">
        <f>"UGI203"</f>
        <v>UGI203</v>
      </c>
      <c r="C2307" s="1" t="str">
        <f>"위장조영검사상 위점막비후"</f>
        <v>위장조영검사상 위점막비후</v>
      </c>
      <c r="D2307" s="1" t="s">
        <v>718</v>
      </c>
      <c r="E2307" s="1" t="str">
        <f>""</f>
        <v/>
      </c>
      <c r="F2307" s="1" t="str">
        <f>""</f>
        <v/>
      </c>
      <c r="G2307" s="1" t="str">
        <f>""</f>
        <v/>
      </c>
      <c r="H2307" s="1" t="str">
        <f>""</f>
        <v/>
      </c>
      <c r="I2307" s="1" t="str">
        <f>""</f>
        <v/>
      </c>
      <c r="J2307" s="1" t="str">
        <f>""</f>
        <v/>
      </c>
      <c r="K2307" s="1" t="str">
        <f>""</f>
        <v/>
      </c>
      <c r="L2307" s="1" t="str">
        <f t="shared" si="663"/>
        <v>R</v>
      </c>
      <c r="M2307" s="1" t="str">
        <f>""</f>
        <v/>
      </c>
      <c r="N2307" s="1" t="str">
        <f t="shared" si="665"/>
        <v>Y</v>
      </c>
      <c r="O2307" s="1" t="str">
        <f t="shared" si="656"/>
        <v>Y</v>
      </c>
      <c r="P2307" s="1" t="str">
        <f t="shared" si="655"/>
        <v>Y</v>
      </c>
      <c r="Q2307" s="1" t="str">
        <f t="shared" si="657"/>
        <v>A</v>
      </c>
    </row>
    <row r="2308" spans="1:17" x14ac:dyDescent="0.3">
      <c r="A2308" s="1" t="str">
        <f t="shared" si="658"/>
        <v>ZC</v>
      </c>
      <c r="B2308" s="1" t="str">
        <f>"UGI303"</f>
        <v>UGI303</v>
      </c>
      <c r="C2308" s="1" t="str">
        <f>"위장조영검사상 위염의심"</f>
        <v>위장조영검사상 위염의심</v>
      </c>
      <c r="D2308" s="1" t="s">
        <v>719</v>
      </c>
      <c r="E2308" s="1" t="str">
        <f>""</f>
        <v/>
      </c>
      <c r="F2308" s="1" t="str">
        <f>""</f>
        <v/>
      </c>
      <c r="G2308" s="1" t="str">
        <f>""</f>
        <v/>
      </c>
      <c r="H2308" s="1" t="str">
        <f>""</f>
        <v/>
      </c>
      <c r="I2308" s="1" t="str">
        <f>""</f>
        <v/>
      </c>
      <c r="J2308" s="1" t="str">
        <f>""</f>
        <v/>
      </c>
      <c r="K2308" s="1" t="str">
        <f>""</f>
        <v/>
      </c>
      <c r="L2308" s="1" t="str">
        <f t="shared" si="663"/>
        <v>R</v>
      </c>
      <c r="M2308" s="1" t="str">
        <f>""</f>
        <v/>
      </c>
      <c r="N2308" s="1" t="str">
        <f t="shared" si="665"/>
        <v>Y</v>
      </c>
      <c r="O2308" s="1" t="str">
        <f t="shared" si="656"/>
        <v>Y</v>
      </c>
      <c r="P2308" s="1" t="str">
        <f t="shared" si="655"/>
        <v>Y</v>
      </c>
      <c r="Q2308" s="1" t="str">
        <f t="shared" si="657"/>
        <v>A</v>
      </c>
    </row>
    <row r="2309" spans="1:17" x14ac:dyDescent="0.3">
      <c r="A2309" s="1" t="str">
        <f t="shared" si="658"/>
        <v>ZC</v>
      </c>
      <c r="B2309" s="1" t="str">
        <f>"UGI304"</f>
        <v>UGI304</v>
      </c>
      <c r="C2309" s="1" t="str">
        <f>"위장조영검사상 십이지장궤양의심"</f>
        <v>위장조영검사상 십이지장궤양의심</v>
      </c>
      <c r="D2309" s="1" t="str">
        <f>"위장조영검사에서 십이지장 궤양이 의심됩니다. 위내시경검사를 통한 확진과 치료 필요합니다. 빠른 시일 내에 의료기관을 방문하시어 위내시경검사를 받으시기 바랍니다."</f>
        <v>위장조영검사에서 십이지장 궤양이 의심됩니다. 위내시경검사를 통한 확진과 치료 필요합니다. 빠른 시일 내에 의료기관을 방문하시어 위내시경검사를 받으시기 바랍니다.</v>
      </c>
      <c r="E2309" s="1" t="str">
        <f>""</f>
        <v/>
      </c>
      <c r="F2309" s="1" t="str">
        <f>""</f>
        <v/>
      </c>
      <c r="G2309" s="1" t="str">
        <f>""</f>
        <v/>
      </c>
      <c r="H2309" s="1" t="str">
        <f>""</f>
        <v/>
      </c>
      <c r="I2309" s="1" t="str">
        <f>""</f>
        <v/>
      </c>
      <c r="J2309" s="1" t="str">
        <f>""</f>
        <v/>
      </c>
      <c r="K2309" s="1" t="str">
        <f>""</f>
        <v/>
      </c>
      <c r="L2309" s="1" t="str">
        <f t="shared" si="663"/>
        <v>R</v>
      </c>
      <c r="M2309" s="1" t="str">
        <f>""</f>
        <v/>
      </c>
      <c r="N2309" s="1" t="str">
        <f t="shared" si="665"/>
        <v>Y</v>
      </c>
      <c r="O2309" s="1" t="str">
        <f t="shared" si="656"/>
        <v>Y</v>
      </c>
      <c r="P2309" s="1" t="str">
        <f t="shared" si="655"/>
        <v>Y</v>
      </c>
      <c r="Q2309" s="1" t="str">
        <f t="shared" si="657"/>
        <v>A</v>
      </c>
    </row>
    <row r="2310" spans="1:17" x14ac:dyDescent="0.3">
      <c r="A2310" s="1" t="str">
        <f t="shared" si="658"/>
        <v>ZC</v>
      </c>
      <c r="B2310" s="1" t="str">
        <f>"UGI305"</f>
        <v>UGI305</v>
      </c>
      <c r="C2310" s="1" t="str">
        <f>"위장조영검사상 위궤양 의심"</f>
        <v>위장조영검사상 위궤양 의심</v>
      </c>
      <c r="D2310" s="1" t="str">
        <f>"위장조영검사 결과 위궤양이 의심됩니다. 위내시경검사를 통한 확진 및 치료가 필요합니다.빠른 시일 내에 의료기관을 방문하시어 위내시경 검사를 받으시기 바랍니다."</f>
        <v>위장조영검사 결과 위궤양이 의심됩니다. 위내시경검사를 통한 확진 및 치료가 필요합니다.빠른 시일 내에 의료기관을 방문하시어 위내시경 검사를 받으시기 바랍니다.</v>
      </c>
      <c r="E2310" s="1" t="str">
        <f>""</f>
        <v/>
      </c>
      <c r="F2310" s="1" t="str">
        <f>""</f>
        <v/>
      </c>
      <c r="G2310" s="1" t="str">
        <f>""</f>
        <v/>
      </c>
      <c r="H2310" s="1" t="str">
        <f>""</f>
        <v/>
      </c>
      <c r="I2310" s="1" t="str">
        <f>""</f>
        <v/>
      </c>
      <c r="J2310" s="1" t="str">
        <f>""</f>
        <v/>
      </c>
      <c r="K2310" s="1" t="str">
        <f>""</f>
        <v/>
      </c>
      <c r="L2310" s="1" t="str">
        <f t="shared" si="663"/>
        <v>R</v>
      </c>
      <c r="M2310" s="1" t="str">
        <f>""</f>
        <v/>
      </c>
      <c r="N2310" s="1" t="str">
        <f t="shared" si="665"/>
        <v>Y</v>
      </c>
      <c r="O2310" s="1" t="str">
        <f t="shared" si="656"/>
        <v>Y</v>
      </c>
      <c r="P2310" s="1" t="str">
        <f t="shared" si="655"/>
        <v>Y</v>
      </c>
      <c r="Q2310" s="1" t="str">
        <f t="shared" si="657"/>
        <v>A</v>
      </c>
    </row>
    <row r="2311" spans="1:17" x14ac:dyDescent="0.3">
      <c r="A2311" s="1" t="str">
        <f t="shared" si="658"/>
        <v>ZC</v>
      </c>
      <c r="B2311" s="1" t="str">
        <f>"UGI306"</f>
        <v>UGI306</v>
      </c>
      <c r="C2311" s="1" t="str">
        <f>"위장조영검사상 위암의심"</f>
        <v>위장조영검사상 위암의심</v>
      </c>
      <c r="D2311" s="1" t="str">
        <f>"위장조영검사에서 위에 이상 부위가 발견되었습니다. 위종양일 수도 있으므로 위내시경검사로 확진이 꼭 필요합니다. 빠른 시일 내에 의료기관을 방문하시어 위내시경 검사를 받으십시오."</f>
        <v>위장조영검사에서 위에 이상 부위가 발견되었습니다. 위종양일 수도 있으므로 위내시경검사로 확진이 꼭 필요합니다. 빠른 시일 내에 의료기관을 방문하시어 위내시경 검사를 받으십시오.</v>
      </c>
      <c r="E2311" s="1" t="str">
        <f>""</f>
        <v/>
      </c>
      <c r="F2311" s="1" t="str">
        <f>""</f>
        <v/>
      </c>
      <c r="G2311" s="1" t="str">
        <f>""</f>
        <v/>
      </c>
      <c r="H2311" s="1" t="str">
        <f>""</f>
        <v/>
      </c>
      <c r="I2311" s="1" t="str">
        <f>""</f>
        <v/>
      </c>
      <c r="J2311" s="1" t="str">
        <f>""</f>
        <v/>
      </c>
      <c r="K2311" s="1" t="str">
        <f>""</f>
        <v/>
      </c>
      <c r="L2311" s="1" t="str">
        <f t="shared" si="663"/>
        <v>R</v>
      </c>
      <c r="M2311" s="1" t="str">
        <f>""</f>
        <v/>
      </c>
      <c r="N2311" s="1" t="str">
        <f t="shared" si="665"/>
        <v>Y</v>
      </c>
      <c r="O2311" s="1" t="str">
        <f t="shared" si="656"/>
        <v>Y</v>
      </c>
      <c r="P2311" s="1" t="str">
        <f t="shared" si="655"/>
        <v>Y</v>
      </c>
      <c r="Q2311" s="1" t="str">
        <f t="shared" si="657"/>
        <v>A</v>
      </c>
    </row>
    <row r="2312" spans="1:17" x14ac:dyDescent="0.3">
      <c r="A2312" s="1" t="str">
        <f t="shared" si="658"/>
        <v>ZC</v>
      </c>
      <c r="B2312" s="1" t="str">
        <f>"UGI307"</f>
        <v>UGI307</v>
      </c>
      <c r="C2312" s="1" t="str">
        <f>"위장조영검사상 만성표재성위염"</f>
        <v>위장조영검사상 만성표재성위염</v>
      </c>
      <c r="D2312" s="1" t="s">
        <v>720</v>
      </c>
      <c r="E2312" s="1" t="str">
        <f>""</f>
        <v/>
      </c>
      <c r="F2312" s="1" t="str">
        <f>""</f>
        <v/>
      </c>
      <c r="G2312" s="1" t="str">
        <f>""</f>
        <v/>
      </c>
      <c r="H2312" s="1" t="str">
        <f>""</f>
        <v/>
      </c>
      <c r="I2312" s="1" t="str">
        <f>""</f>
        <v/>
      </c>
      <c r="J2312" s="1" t="str">
        <f>""</f>
        <v/>
      </c>
      <c r="K2312" s="1" t="str">
        <f>""</f>
        <v/>
      </c>
      <c r="L2312" s="1" t="str">
        <f t="shared" si="663"/>
        <v>R</v>
      </c>
      <c r="M2312" s="1" t="str">
        <f>""</f>
        <v/>
      </c>
      <c r="N2312" s="1" t="str">
        <f t="shared" si="665"/>
        <v>Y</v>
      </c>
      <c r="O2312" s="1" t="str">
        <f t="shared" si="656"/>
        <v>Y</v>
      </c>
      <c r="P2312" s="1" t="str">
        <f t="shared" si="655"/>
        <v>Y</v>
      </c>
      <c r="Q2312" s="1" t="str">
        <f t="shared" si="657"/>
        <v>A</v>
      </c>
    </row>
    <row r="2313" spans="1:17" x14ac:dyDescent="0.3">
      <c r="A2313" s="1" t="str">
        <f t="shared" si="658"/>
        <v>ZC</v>
      </c>
      <c r="B2313" s="1" t="str">
        <f>"UGI309"</f>
        <v>UGI309</v>
      </c>
      <c r="C2313" s="1" t="str">
        <f>"위장조영검사상 위용종 의심"</f>
        <v>위장조영검사상 위용종 의심</v>
      </c>
      <c r="D2313" s="1" t="str">
        <f>"위장조영검사 결과 위에 용종이 관찰됩니다. 용종은 점막 벽에서 혹처럼 튀어나와 자라난 것으로 위내시경검사를 통한 확인 및 조직검사가 필요합니다. 빠른 시일 내에 의료기관을 방문하시어 위내시경 검사를 받으시기 바랍니다."</f>
        <v>위장조영검사 결과 위에 용종이 관찰됩니다. 용종은 점막 벽에서 혹처럼 튀어나와 자라난 것으로 위내시경검사를 통한 확인 및 조직검사가 필요합니다. 빠른 시일 내에 의료기관을 방문하시어 위내시경 검사를 받으시기 바랍니다.</v>
      </c>
      <c r="E2313" s="1" t="str">
        <f>""</f>
        <v/>
      </c>
      <c r="F2313" s="1" t="str">
        <f>""</f>
        <v/>
      </c>
      <c r="G2313" s="1" t="str">
        <f>""</f>
        <v/>
      </c>
      <c r="H2313" s="1" t="str">
        <f>""</f>
        <v/>
      </c>
      <c r="I2313" s="1" t="str">
        <f>""</f>
        <v/>
      </c>
      <c r="J2313" s="1" t="str">
        <f>""</f>
        <v/>
      </c>
      <c r="K2313" s="1" t="str">
        <f>""</f>
        <v/>
      </c>
      <c r="L2313" s="1" t="str">
        <f t="shared" si="663"/>
        <v>R</v>
      </c>
      <c r="M2313" s="1" t="str">
        <f>""</f>
        <v/>
      </c>
      <c r="N2313" s="1" t="str">
        <f t="shared" si="665"/>
        <v>Y</v>
      </c>
      <c r="O2313" s="1" t="str">
        <f t="shared" si="656"/>
        <v>Y</v>
      </c>
      <c r="P2313" s="1" t="str">
        <f t="shared" si="655"/>
        <v>Y</v>
      </c>
      <c r="Q2313" s="1" t="str">
        <f t="shared" si="657"/>
        <v>A</v>
      </c>
    </row>
    <row r="2314" spans="1:17" x14ac:dyDescent="0.3">
      <c r="A2314" s="1" t="str">
        <f t="shared" si="658"/>
        <v>ZC</v>
      </c>
      <c r="B2314" s="1" t="str">
        <f>"UGI310"</f>
        <v>UGI310</v>
      </c>
      <c r="C2314" s="1" t="str">
        <f>"위장조영검사상 식도열공탈장"</f>
        <v>위장조영검사상 식도열공탈장</v>
      </c>
      <c r="D2314" s="1" t="s">
        <v>721</v>
      </c>
      <c r="E2314" s="1" t="str">
        <f>""</f>
        <v/>
      </c>
      <c r="F2314" s="1" t="str">
        <f>""</f>
        <v/>
      </c>
      <c r="G2314" s="1" t="str">
        <f>""</f>
        <v/>
      </c>
      <c r="H2314" s="1" t="str">
        <f>""</f>
        <v/>
      </c>
      <c r="I2314" s="1" t="str">
        <f>""</f>
        <v/>
      </c>
      <c r="J2314" s="1" t="str">
        <f>""</f>
        <v/>
      </c>
      <c r="K2314" s="1" t="str">
        <f>""</f>
        <v/>
      </c>
      <c r="L2314" s="1" t="str">
        <f t="shared" si="663"/>
        <v>R</v>
      </c>
      <c r="M2314" s="1" t="str">
        <f>""</f>
        <v/>
      </c>
      <c r="N2314" s="1" t="str">
        <f t="shared" si="665"/>
        <v>Y</v>
      </c>
      <c r="O2314" s="1" t="str">
        <f t="shared" si="656"/>
        <v>Y</v>
      </c>
      <c r="P2314" s="1" t="str">
        <f t="shared" ref="P2314:P2377" si="667">"Y"</f>
        <v>Y</v>
      </c>
      <c r="Q2314" s="1" t="str">
        <f t="shared" si="657"/>
        <v>A</v>
      </c>
    </row>
    <row r="2315" spans="1:17" x14ac:dyDescent="0.3">
      <c r="A2315" s="1" t="str">
        <f t="shared" si="658"/>
        <v>ZC</v>
      </c>
      <c r="B2315" s="1" t="str">
        <f>"UGI311"</f>
        <v>UGI311</v>
      </c>
      <c r="C2315" s="1" t="str">
        <f>"위장조영검사상 위염"</f>
        <v>위장조영검사상 위염</v>
      </c>
      <c r="D2315" s="1" t="s">
        <v>719</v>
      </c>
      <c r="E2315" s="1" t="str">
        <f>""</f>
        <v/>
      </c>
      <c r="F2315" s="1" t="str">
        <f>""</f>
        <v/>
      </c>
      <c r="G2315" s="1" t="str">
        <f>""</f>
        <v/>
      </c>
      <c r="H2315" s="1" t="str">
        <f>""</f>
        <v/>
      </c>
      <c r="I2315" s="1" t="str">
        <f>""</f>
        <v/>
      </c>
      <c r="J2315" s="1" t="str">
        <f>""</f>
        <v/>
      </c>
      <c r="K2315" s="1" t="str">
        <f>""</f>
        <v/>
      </c>
      <c r="L2315" s="1" t="str">
        <f t="shared" si="663"/>
        <v>R</v>
      </c>
      <c r="M2315" s="1" t="str">
        <f>""</f>
        <v/>
      </c>
      <c r="N2315" s="1" t="str">
        <f t="shared" si="665"/>
        <v>Y</v>
      </c>
      <c r="O2315" s="1" t="str">
        <f t="shared" si="656"/>
        <v>Y</v>
      </c>
      <c r="P2315" s="1" t="str">
        <f t="shared" si="667"/>
        <v>Y</v>
      </c>
      <c r="Q2315" s="1" t="str">
        <f t="shared" si="657"/>
        <v>A</v>
      </c>
    </row>
    <row r="2316" spans="1:17" x14ac:dyDescent="0.3">
      <c r="A2316" s="1" t="str">
        <f t="shared" si="658"/>
        <v>ZC</v>
      </c>
      <c r="B2316" s="1" t="str">
        <f>"US01001"</f>
        <v>US01001</v>
      </c>
      <c r="C2316" s="1" t="str">
        <f>"경미한 지방간"</f>
        <v>경미한 지방간</v>
      </c>
      <c r="D2316" s="1" t="s">
        <v>427</v>
      </c>
      <c r="E2316" s="1" t="str">
        <f>""</f>
        <v/>
      </c>
      <c r="F2316" s="1" t="str">
        <f>""</f>
        <v/>
      </c>
      <c r="G2316" s="1" t="str">
        <f>""</f>
        <v/>
      </c>
      <c r="H2316" s="1" t="str">
        <f>""</f>
        <v/>
      </c>
      <c r="I2316" s="1" t="str">
        <f>""</f>
        <v/>
      </c>
      <c r="J2316" s="1" t="str">
        <f>""</f>
        <v/>
      </c>
      <c r="K2316" s="1" t="str">
        <f>""</f>
        <v/>
      </c>
      <c r="L2316" s="1" t="str">
        <f t="shared" si="663"/>
        <v>R</v>
      </c>
      <c r="M2316" s="1" t="str">
        <f>""</f>
        <v/>
      </c>
      <c r="N2316" s="1" t="str">
        <f t="shared" si="665"/>
        <v>Y</v>
      </c>
      <c r="O2316" s="1" t="str">
        <f t="shared" si="656"/>
        <v>Y</v>
      </c>
      <c r="P2316" s="1" t="str">
        <f t="shared" si="667"/>
        <v>Y</v>
      </c>
      <c r="Q2316" s="1" t="str">
        <f t="shared" si="657"/>
        <v>A</v>
      </c>
    </row>
    <row r="2317" spans="1:17" x14ac:dyDescent="0.3">
      <c r="A2317" s="1" t="str">
        <f t="shared" si="658"/>
        <v>ZC</v>
      </c>
      <c r="B2317" s="1" t="str">
        <f>"US01002"</f>
        <v>US01002</v>
      </c>
      <c r="C2317" s="1" t="str">
        <f>"중등도의 지방간"</f>
        <v>중등도의 지방간</v>
      </c>
      <c r="D2317" s="1" t="s">
        <v>722</v>
      </c>
      <c r="E2317" s="1" t="str">
        <f>""</f>
        <v/>
      </c>
      <c r="F2317" s="1" t="str">
        <f>""</f>
        <v/>
      </c>
      <c r="G2317" s="1" t="str">
        <f>""</f>
        <v/>
      </c>
      <c r="H2317" s="1" t="str">
        <f>""</f>
        <v/>
      </c>
      <c r="I2317" s="1" t="str">
        <f>""</f>
        <v/>
      </c>
      <c r="J2317" s="1" t="str">
        <f>""</f>
        <v/>
      </c>
      <c r="K2317" s="1" t="str">
        <f>""</f>
        <v/>
      </c>
      <c r="L2317" s="1" t="str">
        <f t="shared" si="663"/>
        <v>R</v>
      </c>
      <c r="M2317" s="1" t="str">
        <f>""</f>
        <v/>
      </c>
      <c r="N2317" s="1" t="str">
        <f t="shared" si="665"/>
        <v>Y</v>
      </c>
      <c r="O2317" s="1" t="str">
        <f t="shared" si="656"/>
        <v>Y</v>
      </c>
      <c r="P2317" s="1" t="str">
        <f t="shared" si="667"/>
        <v>Y</v>
      </c>
      <c r="Q2317" s="1" t="str">
        <f t="shared" si="657"/>
        <v>A</v>
      </c>
    </row>
    <row r="2318" spans="1:17" x14ac:dyDescent="0.3">
      <c r="A2318" s="1" t="str">
        <f t="shared" si="658"/>
        <v>ZC</v>
      </c>
      <c r="B2318" s="1" t="str">
        <f>"US01004"</f>
        <v>US01004</v>
      </c>
      <c r="C2318" s="1" t="str">
        <f>"고도의 지방간"</f>
        <v>고도의 지방간</v>
      </c>
      <c r="D2318" s="1" t="s">
        <v>723</v>
      </c>
      <c r="E2318" s="1" t="str">
        <f>""</f>
        <v/>
      </c>
      <c r="F2318" s="1" t="str">
        <f>""</f>
        <v/>
      </c>
      <c r="G2318" s="1" t="str">
        <f>""</f>
        <v/>
      </c>
      <c r="H2318" s="1" t="str">
        <f>""</f>
        <v/>
      </c>
      <c r="I2318" s="1" t="str">
        <f>""</f>
        <v/>
      </c>
      <c r="J2318" s="1" t="str">
        <f>""</f>
        <v/>
      </c>
      <c r="K2318" s="1" t="str">
        <f>""</f>
        <v/>
      </c>
      <c r="L2318" s="1" t="str">
        <f t="shared" si="663"/>
        <v>R</v>
      </c>
      <c r="M2318" s="1" t="str">
        <f>""</f>
        <v/>
      </c>
      <c r="N2318" s="1" t="str">
        <f t="shared" si="665"/>
        <v>Y</v>
      </c>
      <c r="O2318" s="1" t="str">
        <f t="shared" si="656"/>
        <v>Y</v>
      </c>
      <c r="P2318" s="1" t="str">
        <f t="shared" si="667"/>
        <v>Y</v>
      </c>
      <c r="Q2318" s="1" t="str">
        <f t="shared" si="657"/>
        <v>A</v>
      </c>
    </row>
    <row r="2319" spans="1:17" x14ac:dyDescent="0.3">
      <c r="A2319" s="1" t="str">
        <f t="shared" si="658"/>
        <v>ZC</v>
      </c>
      <c r="B2319" s="1" t="str">
        <f>"US01005"</f>
        <v>US01005</v>
      </c>
      <c r="C2319" s="1" t="str">
        <f>"간좌엽 혈관종"</f>
        <v>간좌엽 혈관종</v>
      </c>
      <c r="D2319" s="1" t="str">
        <f>"복부초음파 검사에서 간에 종괴가 관찰되는데 혈관종으로 보입니다. 혈관종은 대부분의 경우 문제가 없습니다. 그러나 초음파에서 발견된 종괴가 확실히 혈관종인지를 확인하기 위해서는 컴퓨터 단층촬영같은 정밀검사가 필요합니다."</f>
        <v>복부초음파 검사에서 간에 종괴가 관찰되는데 혈관종으로 보입니다. 혈관종은 대부분의 경우 문제가 없습니다. 그러나 초음파에서 발견된 종괴가 확실히 혈관종인지를 확인하기 위해서는 컴퓨터 단층촬영같은 정밀검사가 필요합니다.</v>
      </c>
      <c r="E2319" s="1" t="str">
        <f>""</f>
        <v/>
      </c>
      <c r="F2319" s="1" t="str">
        <f>""</f>
        <v/>
      </c>
      <c r="G2319" s="1" t="str">
        <f>""</f>
        <v/>
      </c>
      <c r="H2319" s="1" t="str">
        <f>""</f>
        <v/>
      </c>
      <c r="I2319" s="1" t="str">
        <f>""</f>
        <v/>
      </c>
      <c r="J2319" s="1" t="str">
        <f>""</f>
        <v/>
      </c>
      <c r="K2319" s="1" t="str">
        <f>""</f>
        <v/>
      </c>
      <c r="L2319" s="1" t="str">
        <f t="shared" si="663"/>
        <v>R</v>
      </c>
      <c r="M2319" s="1" t="str">
        <f>""</f>
        <v/>
      </c>
      <c r="N2319" s="1" t="str">
        <f t="shared" si="665"/>
        <v>Y</v>
      </c>
      <c r="O2319" s="1" t="str">
        <f t="shared" si="656"/>
        <v>Y</v>
      </c>
      <c r="P2319" s="1" t="str">
        <f t="shared" si="667"/>
        <v>Y</v>
      </c>
      <c r="Q2319" s="1" t="str">
        <f t="shared" si="657"/>
        <v>A</v>
      </c>
    </row>
    <row r="2320" spans="1:17" x14ac:dyDescent="0.3">
      <c r="A2320" s="1" t="str">
        <f t="shared" si="658"/>
        <v>ZC</v>
      </c>
      <c r="B2320" s="1" t="str">
        <f>"US01006"</f>
        <v>US01006</v>
      </c>
      <c r="C2320" s="1" t="str">
        <f>"간우엽 혈관종"</f>
        <v>간우엽 혈관종</v>
      </c>
      <c r="D2320" s="1" t="str">
        <f>"복부초음파 검사에서 간에 종괴가 관찰되는데 혈관종으로 보입니다. 혈관종은 대부분의 경우 문제가 없습니다. 그러나 초음파에서 발견된 종괴가 확실히 혈관종인지를 확인하기 위해서는 컴퓨터 단층촬영같은 정밀검사가 필요합니다."</f>
        <v>복부초음파 검사에서 간에 종괴가 관찰되는데 혈관종으로 보입니다. 혈관종은 대부분의 경우 문제가 없습니다. 그러나 초음파에서 발견된 종괴가 확실히 혈관종인지를 확인하기 위해서는 컴퓨터 단층촬영같은 정밀검사가 필요합니다.</v>
      </c>
      <c r="E2320" s="1" t="str">
        <f>""</f>
        <v/>
      </c>
      <c r="F2320" s="1" t="str">
        <f>""</f>
        <v/>
      </c>
      <c r="G2320" s="1" t="str">
        <f>""</f>
        <v/>
      </c>
      <c r="H2320" s="1" t="str">
        <f>""</f>
        <v/>
      </c>
      <c r="I2320" s="1" t="str">
        <f>""</f>
        <v/>
      </c>
      <c r="J2320" s="1" t="str">
        <f>""</f>
        <v/>
      </c>
      <c r="K2320" s="1" t="str">
        <f>""</f>
        <v/>
      </c>
      <c r="L2320" s="1" t="str">
        <f t="shared" si="663"/>
        <v>R</v>
      </c>
      <c r="M2320" s="1" t="str">
        <f>""</f>
        <v/>
      </c>
      <c r="N2320" s="1" t="str">
        <f t="shared" si="665"/>
        <v>Y</v>
      </c>
      <c r="O2320" s="1" t="str">
        <f t="shared" ref="O2320:O2383" si="668">"Y"</f>
        <v>Y</v>
      </c>
      <c r="P2320" s="1" t="str">
        <f t="shared" si="667"/>
        <v>Y</v>
      </c>
      <c r="Q2320" s="1" t="str">
        <f t="shared" si="657"/>
        <v>A</v>
      </c>
    </row>
    <row r="2321" spans="1:17" x14ac:dyDescent="0.3">
      <c r="A2321" s="1" t="str">
        <f t="shared" si="658"/>
        <v>ZC</v>
      </c>
      <c r="B2321" s="1" t="str">
        <f>"US01007"</f>
        <v>US01007</v>
      </c>
      <c r="C2321" s="1" t="str">
        <f>"간좌우엽 혈관종"</f>
        <v>간좌우엽 혈관종</v>
      </c>
      <c r="D2321" s="1" t="str">
        <f>"복부초음파 검사에서 간에 종괴가 관찰되는데 혈관종으로 보입니다. 혈관종은 대부분의 경우 문제가 없습니다. 그러나 초음파에서 발견된 종괴가 확실히 혈관종인지를 확인하기 위해서는 컴퓨터 단층촬영같은 정밀검사가 필요합니다."</f>
        <v>복부초음파 검사에서 간에 종괴가 관찰되는데 혈관종으로 보입니다. 혈관종은 대부분의 경우 문제가 없습니다. 그러나 초음파에서 발견된 종괴가 확실히 혈관종인지를 확인하기 위해서는 컴퓨터 단층촬영같은 정밀검사가 필요합니다.</v>
      </c>
      <c r="E2321" s="1" t="str">
        <f>""</f>
        <v/>
      </c>
      <c r="F2321" s="1" t="str">
        <f>""</f>
        <v/>
      </c>
      <c r="G2321" s="1" t="str">
        <f>""</f>
        <v/>
      </c>
      <c r="H2321" s="1" t="str">
        <f>""</f>
        <v/>
      </c>
      <c r="I2321" s="1" t="str">
        <f>""</f>
        <v/>
      </c>
      <c r="J2321" s="1" t="str">
        <f>""</f>
        <v/>
      </c>
      <c r="K2321" s="1" t="str">
        <f>""</f>
        <v/>
      </c>
      <c r="L2321" s="1" t="str">
        <f t="shared" si="663"/>
        <v>R</v>
      </c>
      <c r="M2321" s="1" t="str">
        <f>""</f>
        <v/>
      </c>
      <c r="N2321" s="1" t="str">
        <f t="shared" si="665"/>
        <v>Y</v>
      </c>
      <c r="O2321" s="1" t="str">
        <f t="shared" si="668"/>
        <v>Y</v>
      </c>
      <c r="P2321" s="1" t="str">
        <f t="shared" si="667"/>
        <v>Y</v>
      </c>
      <c r="Q2321" s="1" t="str">
        <f t="shared" si="657"/>
        <v>A</v>
      </c>
    </row>
    <row r="2322" spans="1:17" x14ac:dyDescent="0.3">
      <c r="A2322" s="1" t="str">
        <f t="shared" si="658"/>
        <v>ZC</v>
      </c>
      <c r="B2322" s="1" t="str">
        <f>"US01008"</f>
        <v>US01008</v>
      </c>
      <c r="C2322" s="1" t="str">
        <f>"간좌엽 낭종"</f>
        <v>간좌엽 낭종</v>
      </c>
      <c r="D2322" s="1" t="str">
        <f>"복부초음파 검사에서 간에 낭종이 나타납니다. 낭종(물혹)은 대부분 악성이 아니므로 크게 걱정하실 필요는 없으나 추이의 변화를 관찰하시기 바랍니다."</f>
        <v>복부초음파 검사에서 간에 낭종이 나타납니다. 낭종(물혹)은 대부분 악성이 아니므로 크게 걱정하실 필요는 없으나 추이의 변화를 관찰하시기 바랍니다.</v>
      </c>
      <c r="E2322" s="1" t="str">
        <f>""</f>
        <v/>
      </c>
      <c r="F2322" s="1" t="str">
        <f>""</f>
        <v/>
      </c>
      <c r="G2322" s="1" t="str">
        <f>""</f>
        <v/>
      </c>
      <c r="H2322" s="1" t="str">
        <f>""</f>
        <v/>
      </c>
      <c r="I2322" s="1" t="str">
        <f>""</f>
        <v/>
      </c>
      <c r="J2322" s="1" t="str">
        <f>""</f>
        <v/>
      </c>
      <c r="K2322" s="1" t="str">
        <f>""</f>
        <v/>
      </c>
      <c r="L2322" s="1" t="str">
        <f t="shared" si="663"/>
        <v>R</v>
      </c>
      <c r="M2322" s="1" t="str">
        <f>""</f>
        <v/>
      </c>
      <c r="N2322" s="1" t="str">
        <f t="shared" si="665"/>
        <v>Y</v>
      </c>
      <c r="O2322" s="1" t="str">
        <f t="shared" si="668"/>
        <v>Y</v>
      </c>
      <c r="P2322" s="1" t="str">
        <f t="shared" si="667"/>
        <v>Y</v>
      </c>
      <c r="Q2322" s="1" t="str">
        <f t="shared" si="657"/>
        <v>A</v>
      </c>
    </row>
    <row r="2323" spans="1:17" x14ac:dyDescent="0.3">
      <c r="A2323" s="1" t="str">
        <f t="shared" si="658"/>
        <v>ZC</v>
      </c>
      <c r="B2323" s="1" t="str">
        <f>"US01009"</f>
        <v>US01009</v>
      </c>
      <c r="C2323" s="1" t="str">
        <f>"간우엽 낭종"</f>
        <v>간우엽 낭종</v>
      </c>
      <c r="D2323" s="1" t="s">
        <v>724</v>
      </c>
      <c r="E2323" s="1" t="str">
        <f>""</f>
        <v/>
      </c>
      <c r="F2323" s="1" t="str">
        <f>""</f>
        <v/>
      </c>
      <c r="G2323" s="1" t="str">
        <f>""</f>
        <v/>
      </c>
      <c r="H2323" s="1" t="str">
        <f>""</f>
        <v/>
      </c>
      <c r="I2323" s="1" t="str">
        <f>""</f>
        <v/>
      </c>
      <c r="J2323" s="1" t="str">
        <f>""</f>
        <v/>
      </c>
      <c r="K2323" s="1" t="str">
        <f>""</f>
        <v/>
      </c>
      <c r="L2323" s="1" t="str">
        <f t="shared" si="663"/>
        <v>R</v>
      </c>
      <c r="M2323" s="1" t="str">
        <f>""</f>
        <v/>
      </c>
      <c r="N2323" s="1" t="str">
        <f t="shared" si="665"/>
        <v>Y</v>
      </c>
      <c r="O2323" s="1" t="str">
        <f t="shared" si="668"/>
        <v>Y</v>
      </c>
      <c r="P2323" s="1" t="str">
        <f t="shared" si="667"/>
        <v>Y</v>
      </c>
      <c r="Q2323" s="1" t="str">
        <f t="shared" si="657"/>
        <v>A</v>
      </c>
    </row>
    <row r="2324" spans="1:17" x14ac:dyDescent="0.3">
      <c r="A2324" s="1" t="str">
        <f t="shared" si="658"/>
        <v>ZC</v>
      </c>
      <c r="B2324" s="1" t="str">
        <f>"US01010"</f>
        <v>US01010</v>
      </c>
      <c r="C2324" s="1" t="str">
        <f>"간좌우엽 낭종"</f>
        <v>간좌우엽 낭종</v>
      </c>
      <c r="D2324" s="1" t="str">
        <f>"복부초음파 검사에서 간에 낭종이 나타납니다. 낭종(물혹)은 대부분 악성이 아니므로 크게 걱정하실 필요는 없으나 추이의 변화를 관찰하시기 바랍니다."</f>
        <v>복부초음파 검사에서 간에 낭종이 나타납니다. 낭종(물혹)은 대부분 악성이 아니므로 크게 걱정하실 필요는 없으나 추이의 변화를 관찰하시기 바랍니다.</v>
      </c>
      <c r="E2324" s="1" t="str">
        <f>""</f>
        <v/>
      </c>
      <c r="F2324" s="1" t="str">
        <f>""</f>
        <v/>
      </c>
      <c r="G2324" s="1" t="str">
        <f>""</f>
        <v/>
      </c>
      <c r="H2324" s="1" t="str">
        <f>""</f>
        <v/>
      </c>
      <c r="I2324" s="1" t="str">
        <f>""</f>
        <v/>
      </c>
      <c r="J2324" s="1" t="str">
        <f>""</f>
        <v/>
      </c>
      <c r="K2324" s="1" t="str">
        <f>""</f>
        <v/>
      </c>
      <c r="L2324" s="1" t="str">
        <f t="shared" si="663"/>
        <v>R</v>
      </c>
      <c r="M2324" s="1" t="str">
        <f>""</f>
        <v/>
      </c>
      <c r="N2324" s="1" t="str">
        <f t="shared" si="665"/>
        <v>Y</v>
      </c>
      <c r="O2324" s="1" t="str">
        <f t="shared" si="668"/>
        <v>Y</v>
      </c>
      <c r="P2324" s="1" t="str">
        <f t="shared" si="667"/>
        <v>Y</v>
      </c>
      <c r="Q2324" s="1" t="str">
        <f t="shared" si="657"/>
        <v>A</v>
      </c>
    </row>
    <row r="2325" spans="1:17" x14ac:dyDescent="0.3">
      <c r="A2325" s="1" t="str">
        <f t="shared" si="658"/>
        <v>ZC</v>
      </c>
      <c r="B2325" s="1" t="str">
        <f>"US01011"</f>
        <v>US01011</v>
      </c>
      <c r="C2325" s="1" t="str">
        <f>"간좌엽 석회화"</f>
        <v>간좌엽 석회화</v>
      </c>
      <c r="D2325" s="1" t="str">
        <f>"복부초음파검사에서 간내 석회화 소견이 보입니다. 간내 석회화는 간에 칼슘성분이 침착한 것으로 임상적으로 큰 의미는 없으나 추적관찰 바랍니다."</f>
        <v>복부초음파검사에서 간내 석회화 소견이 보입니다. 간내 석회화는 간에 칼슘성분이 침착한 것으로 임상적으로 큰 의미는 없으나 추적관찰 바랍니다.</v>
      </c>
      <c r="E2325" s="1" t="str">
        <f>""</f>
        <v/>
      </c>
      <c r="F2325" s="1" t="str">
        <f>""</f>
        <v/>
      </c>
      <c r="G2325" s="1" t="str">
        <f>""</f>
        <v/>
      </c>
      <c r="H2325" s="1" t="str">
        <f>""</f>
        <v/>
      </c>
      <c r="I2325" s="1" t="str">
        <f>""</f>
        <v/>
      </c>
      <c r="J2325" s="1" t="str">
        <f>""</f>
        <v/>
      </c>
      <c r="K2325" s="1" t="str">
        <f>""</f>
        <v/>
      </c>
      <c r="L2325" s="1" t="str">
        <f t="shared" si="663"/>
        <v>R</v>
      </c>
      <c r="M2325" s="1" t="str">
        <f>""</f>
        <v/>
      </c>
      <c r="N2325" s="1" t="str">
        <f t="shared" si="665"/>
        <v>Y</v>
      </c>
      <c r="O2325" s="1" t="str">
        <f t="shared" si="668"/>
        <v>Y</v>
      </c>
      <c r="P2325" s="1" t="str">
        <f t="shared" si="667"/>
        <v>Y</v>
      </c>
      <c r="Q2325" s="1" t="str">
        <f t="shared" si="657"/>
        <v>A</v>
      </c>
    </row>
    <row r="2326" spans="1:17" x14ac:dyDescent="0.3">
      <c r="A2326" s="1" t="str">
        <f t="shared" si="658"/>
        <v>ZC</v>
      </c>
      <c r="B2326" s="1" t="str">
        <f>"US01012"</f>
        <v>US01012</v>
      </c>
      <c r="C2326" s="1" t="str">
        <f>"간우엽 석회화"</f>
        <v>간우엽 석회화</v>
      </c>
      <c r="D2326" s="1" t="str">
        <f>"복부초음파검사에서 간내 석회화 소견이 보입니다. 간내 석회화는 간에 칼슘성분이 침착한 것으로 임상적으로 큰 의미는 없으나 추적관찰 바랍니다."</f>
        <v>복부초음파검사에서 간내 석회화 소견이 보입니다. 간내 석회화는 간에 칼슘성분이 침착한 것으로 임상적으로 큰 의미는 없으나 추적관찰 바랍니다.</v>
      </c>
      <c r="E2326" s="1" t="str">
        <f>""</f>
        <v/>
      </c>
      <c r="F2326" s="1" t="str">
        <f>""</f>
        <v/>
      </c>
      <c r="G2326" s="1" t="str">
        <f>""</f>
        <v/>
      </c>
      <c r="H2326" s="1" t="str">
        <f>""</f>
        <v/>
      </c>
      <c r="I2326" s="1" t="str">
        <f>""</f>
        <v/>
      </c>
      <c r="J2326" s="1" t="str">
        <f>""</f>
        <v/>
      </c>
      <c r="K2326" s="1" t="str">
        <f>""</f>
        <v/>
      </c>
      <c r="L2326" s="1" t="str">
        <f t="shared" si="663"/>
        <v>R</v>
      </c>
      <c r="M2326" s="1" t="str">
        <f>""</f>
        <v/>
      </c>
      <c r="N2326" s="1" t="str">
        <f t="shared" si="665"/>
        <v>Y</v>
      </c>
      <c r="O2326" s="1" t="str">
        <f t="shared" si="668"/>
        <v>Y</v>
      </c>
      <c r="P2326" s="1" t="str">
        <f t="shared" si="667"/>
        <v>Y</v>
      </c>
      <c r="Q2326" s="1" t="str">
        <f t="shared" si="657"/>
        <v>A</v>
      </c>
    </row>
    <row r="2327" spans="1:17" x14ac:dyDescent="0.3">
      <c r="A2327" s="1" t="str">
        <f t="shared" si="658"/>
        <v>ZC</v>
      </c>
      <c r="B2327" s="1" t="str">
        <f>"US01013"</f>
        <v>US01013</v>
      </c>
      <c r="C2327" s="1" t="str">
        <f>"간좌우엽 석회화"</f>
        <v>간좌우엽 석회화</v>
      </c>
      <c r="D2327" s="1" t="str">
        <f>"복부초음파검사에서 간내 석회화 소견이 보입니다. 간내 석회화는 간에 칼슘성분이 침착한 것으로 임상적으로 큰 의미는 없으나 추적관찰 바랍니다."</f>
        <v>복부초음파검사에서 간내 석회화 소견이 보입니다. 간내 석회화는 간에 칼슘성분이 침착한 것으로 임상적으로 큰 의미는 없으나 추적관찰 바랍니다.</v>
      </c>
      <c r="E2327" s="1" t="str">
        <f>""</f>
        <v/>
      </c>
      <c r="F2327" s="1" t="str">
        <f>""</f>
        <v/>
      </c>
      <c r="G2327" s="1" t="str">
        <f>""</f>
        <v/>
      </c>
      <c r="H2327" s="1" t="str">
        <f>""</f>
        <v/>
      </c>
      <c r="I2327" s="1" t="str">
        <f>""</f>
        <v/>
      </c>
      <c r="J2327" s="1" t="str">
        <f>""</f>
        <v/>
      </c>
      <c r="K2327" s="1" t="str">
        <f>""</f>
        <v/>
      </c>
      <c r="L2327" s="1" t="str">
        <f t="shared" si="663"/>
        <v>R</v>
      </c>
      <c r="M2327" s="1" t="str">
        <f>""</f>
        <v/>
      </c>
      <c r="N2327" s="1" t="str">
        <f t="shared" si="665"/>
        <v>Y</v>
      </c>
      <c r="O2327" s="1" t="str">
        <f t="shared" si="668"/>
        <v>Y</v>
      </c>
      <c r="P2327" s="1" t="str">
        <f t="shared" si="667"/>
        <v>Y</v>
      </c>
      <c r="Q2327" s="1" t="str">
        <f t="shared" si="657"/>
        <v>A</v>
      </c>
    </row>
    <row r="2328" spans="1:17" x14ac:dyDescent="0.3">
      <c r="A2328" s="1" t="str">
        <f t="shared" si="658"/>
        <v>ZC</v>
      </c>
      <c r="B2328" s="1" t="str">
        <f>"US01014"</f>
        <v>US01014</v>
      </c>
      <c r="C2328" s="1" t="str">
        <f>"간비대"</f>
        <v>간비대</v>
      </c>
      <c r="D2328" s="1" t="str">
        <f>"복부초음파 검사 결과 간의 크기가 커져 보입니다 (간비대). 간의 염증같은 질환이 있을때 나타나기도 하지만 개인차에 의해 커져 보이는 경우도 많습니다. 정밀검사를 위해 내원하여 상담하시기 바랍니다."</f>
        <v>복부초음파 검사 결과 간의 크기가 커져 보입니다 (간비대). 간의 염증같은 질환이 있을때 나타나기도 하지만 개인차에 의해 커져 보이는 경우도 많습니다. 정밀검사를 위해 내원하여 상담하시기 바랍니다.</v>
      </c>
      <c r="E2328" s="1" t="str">
        <f>""</f>
        <v/>
      </c>
      <c r="F2328" s="1" t="str">
        <f>""</f>
        <v/>
      </c>
      <c r="G2328" s="1" t="str">
        <f>""</f>
        <v/>
      </c>
      <c r="H2328" s="1" t="str">
        <f>""</f>
        <v/>
      </c>
      <c r="I2328" s="1" t="str">
        <f>""</f>
        <v/>
      </c>
      <c r="J2328" s="1" t="str">
        <f>""</f>
        <v/>
      </c>
      <c r="K2328" s="1" t="str">
        <f>""</f>
        <v/>
      </c>
      <c r="L2328" s="1" t="str">
        <f t="shared" si="663"/>
        <v>R</v>
      </c>
      <c r="M2328" s="1" t="str">
        <f>""</f>
        <v/>
      </c>
      <c r="N2328" s="1" t="str">
        <f t="shared" si="665"/>
        <v>Y</v>
      </c>
      <c r="O2328" s="1" t="str">
        <f t="shared" si="668"/>
        <v>Y</v>
      </c>
      <c r="P2328" s="1" t="str">
        <f t="shared" si="667"/>
        <v>Y</v>
      </c>
      <c r="Q2328" s="1" t="str">
        <f t="shared" si="657"/>
        <v>A</v>
      </c>
    </row>
    <row r="2329" spans="1:17" x14ac:dyDescent="0.3">
      <c r="A2329" s="1" t="str">
        <f t="shared" si="658"/>
        <v>ZC</v>
      </c>
      <c r="B2329" s="1" t="str">
        <f>"US01015"</f>
        <v>US01015</v>
      </c>
      <c r="C2329" s="1" t="str">
        <f>"만성 간질환"</f>
        <v>만성 간질환</v>
      </c>
      <c r="D2329" s="1" t="s">
        <v>725</v>
      </c>
      <c r="E2329" s="1" t="str">
        <f>""</f>
        <v/>
      </c>
      <c r="F2329" s="1" t="str">
        <f>""</f>
        <v/>
      </c>
      <c r="G2329" s="1" t="str">
        <f>""</f>
        <v/>
      </c>
      <c r="H2329" s="1" t="str">
        <f>""</f>
        <v/>
      </c>
      <c r="I2329" s="1" t="str">
        <f>""</f>
        <v/>
      </c>
      <c r="J2329" s="1" t="str">
        <f>""</f>
        <v/>
      </c>
      <c r="K2329" s="1" t="str">
        <f>""</f>
        <v/>
      </c>
      <c r="L2329" s="1" t="str">
        <f t="shared" si="663"/>
        <v>R</v>
      </c>
      <c r="M2329" s="1" t="str">
        <f>""</f>
        <v/>
      </c>
      <c r="N2329" s="1" t="str">
        <f t="shared" si="665"/>
        <v>Y</v>
      </c>
      <c r="O2329" s="1" t="str">
        <f t="shared" si="668"/>
        <v>Y</v>
      </c>
      <c r="P2329" s="1" t="str">
        <f t="shared" si="667"/>
        <v>Y</v>
      </c>
      <c r="Q2329" s="1" t="str">
        <f t="shared" si="657"/>
        <v>A</v>
      </c>
    </row>
    <row r="2330" spans="1:17" x14ac:dyDescent="0.3">
      <c r="A2330" s="1" t="str">
        <f t="shared" si="658"/>
        <v>ZC</v>
      </c>
      <c r="B2330" s="1" t="str">
        <f>"US01016"</f>
        <v>US01016</v>
      </c>
      <c r="C2330" s="1" t="str">
        <f>"기타 간질환"</f>
        <v>기타 간질환</v>
      </c>
      <c r="D2330" s="1" t="s">
        <v>726</v>
      </c>
      <c r="E2330" s="1" t="str">
        <f>""</f>
        <v/>
      </c>
      <c r="F2330" s="1" t="str">
        <f>""</f>
        <v/>
      </c>
      <c r="G2330" s="1" t="str">
        <f>""</f>
        <v/>
      </c>
      <c r="H2330" s="1" t="str">
        <f>""</f>
        <v/>
      </c>
      <c r="I2330" s="1" t="str">
        <f>""</f>
        <v/>
      </c>
      <c r="J2330" s="1" t="str">
        <f>""</f>
        <v/>
      </c>
      <c r="K2330" s="1" t="str">
        <f>""</f>
        <v/>
      </c>
      <c r="L2330" s="1" t="str">
        <f t="shared" si="663"/>
        <v>R</v>
      </c>
      <c r="M2330" s="1" t="str">
        <f>""</f>
        <v/>
      </c>
      <c r="N2330" s="1" t="str">
        <f t="shared" si="665"/>
        <v>Y</v>
      </c>
      <c r="O2330" s="1" t="str">
        <f t="shared" si="668"/>
        <v>Y</v>
      </c>
      <c r="P2330" s="1" t="str">
        <f t="shared" si="667"/>
        <v>Y</v>
      </c>
      <c r="Q2330" s="1" t="str">
        <f t="shared" ref="Q2330:Q2367" si="669">"A"</f>
        <v>A</v>
      </c>
    </row>
    <row r="2331" spans="1:17" x14ac:dyDescent="0.3">
      <c r="A2331" s="1" t="str">
        <f t="shared" si="658"/>
        <v>ZC</v>
      </c>
      <c r="B2331" s="1" t="str">
        <f>"US01017"</f>
        <v>US01017</v>
      </c>
      <c r="C2331" s="1" t="str">
        <f>"기타 담도계 이상"</f>
        <v>기타 담도계 이상</v>
      </c>
      <c r="D2331" s="1" t="str">
        <f>"복부 초음파 검사에서 담낭위축 등 담도계 이상 소견이 발견됩니다. 경미한 소견일 수도 있으나 금식상태를 정확히 지킨 후에 추적관찰 하시기 바랍니다."</f>
        <v>복부 초음파 검사에서 담낭위축 등 담도계 이상 소견이 발견됩니다. 경미한 소견일 수도 있으나 금식상태를 정확히 지킨 후에 추적관찰 하시기 바랍니다.</v>
      </c>
      <c r="E2331" s="1" t="str">
        <f>""</f>
        <v/>
      </c>
      <c r="F2331" s="1" t="str">
        <f>""</f>
        <v/>
      </c>
      <c r="G2331" s="1" t="str">
        <f>""</f>
        <v/>
      </c>
      <c r="H2331" s="1" t="str">
        <f>""</f>
        <v/>
      </c>
      <c r="I2331" s="1" t="str">
        <f>""</f>
        <v/>
      </c>
      <c r="J2331" s="1" t="str">
        <f>""</f>
        <v/>
      </c>
      <c r="K2331" s="1" t="str">
        <f>""</f>
        <v/>
      </c>
      <c r="L2331" s="1" t="str">
        <f t="shared" si="663"/>
        <v>R</v>
      </c>
      <c r="M2331" s="1" t="str">
        <f>""</f>
        <v/>
      </c>
      <c r="N2331" s="1" t="str">
        <f t="shared" si="665"/>
        <v>Y</v>
      </c>
      <c r="O2331" s="1" t="str">
        <f t="shared" si="668"/>
        <v>Y</v>
      </c>
      <c r="P2331" s="1" t="str">
        <f t="shared" si="667"/>
        <v>Y</v>
      </c>
      <c r="Q2331" s="1" t="str">
        <f t="shared" si="669"/>
        <v>A</v>
      </c>
    </row>
    <row r="2332" spans="1:17" x14ac:dyDescent="0.3">
      <c r="A2332" s="1" t="str">
        <f t="shared" si="658"/>
        <v>ZC</v>
      </c>
      <c r="B2332" s="1" t="str">
        <f>"US01018"</f>
        <v>US01018</v>
      </c>
      <c r="C2332" s="1" t="str">
        <f>"담도 결석"</f>
        <v>담도 결석</v>
      </c>
      <c r="D2332" s="1" t="s">
        <v>727</v>
      </c>
      <c r="E2332" s="1" t="str">
        <f>""</f>
        <v/>
      </c>
      <c r="F2332" s="1" t="str">
        <f>""</f>
        <v/>
      </c>
      <c r="G2332" s="1" t="str">
        <f>""</f>
        <v/>
      </c>
      <c r="H2332" s="1" t="str">
        <f>""</f>
        <v/>
      </c>
      <c r="I2332" s="1" t="str">
        <f>""</f>
        <v/>
      </c>
      <c r="J2332" s="1" t="str">
        <f>""</f>
        <v/>
      </c>
      <c r="K2332" s="1" t="str">
        <f>""</f>
        <v/>
      </c>
      <c r="L2332" s="1" t="str">
        <f t="shared" si="663"/>
        <v>R</v>
      </c>
      <c r="M2332" s="1" t="str">
        <f>""</f>
        <v/>
      </c>
      <c r="N2332" s="1" t="str">
        <f t="shared" si="665"/>
        <v>Y</v>
      </c>
      <c r="O2332" s="1" t="str">
        <f t="shared" si="668"/>
        <v>Y</v>
      </c>
      <c r="P2332" s="1" t="str">
        <f t="shared" si="667"/>
        <v>Y</v>
      </c>
      <c r="Q2332" s="1" t="str">
        <f t="shared" si="669"/>
        <v>A</v>
      </c>
    </row>
    <row r="2333" spans="1:17" x14ac:dyDescent="0.3">
      <c r="A2333" s="1" t="str">
        <f t="shared" si="658"/>
        <v>ZC</v>
      </c>
      <c r="B2333" s="1" t="str">
        <f>"US01019"</f>
        <v>US01019</v>
      </c>
      <c r="C2333" s="1" t="str">
        <f>"담낭 용종"</f>
        <v>담낭 용종</v>
      </c>
      <c r="D2333" s="1" t="s">
        <v>728</v>
      </c>
      <c r="E2333" s="1" t="str">
        <f>""</f>
        <v/>
      </c>
      <c r="F2333" s="1" t="str">
        <f>""</f>
        <v/>
      </c>
      <c r="G2333" s="1" t="str">
        <f>""</f>
        <v/>
      </c>
      <c r="H2333" s="1" t="str">
        <f>""</f>
        <v/>
      </c>
      <c r="I2333" s="1" t="str">
        <f>""</f>
        <v/>
      </c>
      <c r="J2333" s="1" t="str">
        <f>""</f>
        <v/>
      </c>
      <c r="K2333" s="1" t="str">
        <f>""</f>
        <v/>
      </c>
      <c r="L2333" s="1" t="str">
        <f t="shared" si="663"/>
        <v>R</v>
      </c>
      <c r="M2333" s="1" t="str">
        <f>""</f>
        <v/>
      </c>
      <c r="N2333" s="1" t="str">
        <f t="shared" si="665"/>
        <v>Y</v>
      </c>
      <c r="O2333" s="1" t="str">
        <f t="shared" si="668"/>
        <v>Y</v>
      </c>
      <c r="P2333" s="1" t="str">
        <f t="shared" si="667"/>
        <v>Y</v>
      </c>
      <c r="Q2333" s="1" t="str">
        <f t="shared" si="669"/>
        <v>A</v>
      </c>
    </row>
    <row r="2334" spans="1:17" x14ac:dyDescent="0.3">
      <c r="A2334" s="1" t="str">
        <f t="shared" si="658"/>
        <v>ZC</v>
      </c>
      <c r="B2334" s="1" t="str">
        <f>"US01020"</f>
        <v>US01020</v>
      </c>
      <c r="C2334" s="1" t="str">
        <f>"담낭 정제 상태"</f>
        <v>담낭 정제 상태</v>
      </c>
      <c r="D2334" s="1" t="s">
        <v>429</v>
      </c>
      <c r="E2334" s="1" t="str">
        <f>""</f>
        <v/>
      </c>
      <c r="F2334" s="1" t="str">
        <f>""</f>
        <v/>
      </c>
      <c r="G2334" s="1" t="str">
        <f>""</f>
        <v/>
      </c>
      <c r="H2334" s="1" t="str">
        <f>""</f>
        <v/>
      </c>
      <c r="I2334" s="1" t="str">
        <f>""</f>
        <v/>
      </c>
      <c r="J2334" s="1" t="str">
        <f>""</f>
        <v/>
      </c>
      <c r="K2334" s="1" t="str">
        <f>""</f>
        <v/>
      </c>
      <c r="L2334" s="1" t="str">
        <f t="shared" si="663"/>
        <v>R</v>
      </c>
      <c r="M2334" s="1" t="str">
        <f>""</f>
        <v/>
      </c>
      <c r="N2334" s="1" t="str">
        <f t="shared" si="665"/>
        <v>Y</v>
      </c>
      <c r="O2334" s="1" t="str">
        <f t="shared" si="668"/>
        <v>Y</v>
      </c>
      <c r="P2334" s="1" t="str">
        <f t="shared" si="667"/>
        <v>Y</v>
      </c>
      <c r="Q2334" s="1" t="str">
        <f t="shared" si="669"/>
        <v>A</v>
      </c>
    </row>
    <row r="2335" spans="1:17" x14ac:dyDescent="0.3">
      <c r="A2335" s="1" t="str">
        <f t="shared" si="658"/>
        <v>ZC</v>
      </c>
      <c r="B2335" s="1" t="str">
        <f>"US01021"</f>
        <v>US01021</v>
      </c>
      <c r="C2335" s="1" t="str">
        <f>"담낭 결석"</f>
        <v>담낭 결석</v>
      </c>
      <c r="D2335" s="1" t="str">
        <f>"복부초음파 검사에서 담낭내에 결석이 발견됩니다. 결석은 그 자체로는 별 문제가 없으나 장기내에서 움직이다 담관 등을 막는 경우 염증과 함께 격심한 통증을 유발할 수 있습니다. 초음파 검사로 변화를 관찰하는 것이 필요합니다."</f>
        <v>복부초음파 검사에서 담낭내에 결석이 발견됩니다. 결석은 그 자체로는 별 문제가 없으나 장기내에서 움직이다 담관 등을 막는 경우 염증과 함께 격심한 통증을 유발할 수 있습니다. 초음파 검사로 변화를 관찰하는 것이 필요합니다.</v>
      </c>
      <c r="E2335" s="1" t="str">
        <f>""</f>
        <v/>
      </c>
      <c r="F2335" s="1" t="str">
        <f>""</f>
        <v/>
      </c>
      <c r="G2335" s="1" t="str">
        <f>""</f>
        <v/>
      </c>
      <c r="H2335" s="1" t="str">
        <f>""</f>
        <v/>
      </c>
      <c r="I2335" s="1" t="str">
        <f>""</f>
        <v/>
      </c>
      <c r="J2335" s="1" t="str">
        <f>""</f>
        <v/>
      </c>
      <c r="K2335" s="1" t="str">
        <f>""</f>
        <v/>
      </c>
      <c r="L2335" s="1" t="str">
        <f t="shared" si="663"/>
        <v>R</v>
      </c>
      <c r="M2335" s="1" t="str">
        <f>""</f>
        <v/>
      </c>
      <c r="N2335" s="1" t="str">
        <f t="shared" si="665"/>
        <v>Y</v>
      </c>
      <c r="O2335" s="1" t="str">
        <f t="shared" si="668"/>
        <v>Y</v>
      </c>
      <c r="P2335" s="1" t="str">
        <f t="shared" si="667"/>
        <v>Y</v>
      </c>
      <c r="Q2335" s="1" t="str">
        <f t="shared" si="669"/>
        <v>A</v>
      </c>
    </row>
    <row r="2336" spans="1:17" x14ac:dyDescent="0.3">
      <c r="A2336" s="1" t="str">
        <f t="shared" si="658"/>
        <v>ZC</v>
      </c>
      <c r="B2336" s="1" t="str">
        <f>"US01022"</f>
        <v>US01022</v>
      </c>
      <c r="C2336" s="1" t="str">
        <f>"담낭 콜레스테롤증"</f>
        <v>담낭 콜레스테롤증</v>
      </c>
      <c r="D2336" s="1" t="str">
        <f>"복부 초음파 검사결과 담낭 콜레스테롤증 소견이 보입니다. 내원하셔서 재검을 통하여 경과관찰 하시기 바랍니다."</f>
        <v>복부 초음파 검사결과 담낭 콜레스테롤증 소견이 보입니다. 내원하셔서 재검을 통하여 경과관찰 하시기 바랍니다.</v>
      </c>
      <c r="E2336" s="1" t="str">
        <f>""</f>
        <v/>
      </c>
      <c r="F2336" s="1" t="str">
        <f>""</f>
        <v/>
      </c>
      <c r="G2336" s="1" t="str">
        <f>""</f>
        <v/>
      </c>
      <c r="H2336" s="1" t="str">
        <f>""</f>
        <v/>
      </c>
      <c r="I2336" s="1" t="str">
        <f>""</f>
        <v/>
      </c>
      <c r="J2336" s="1" t="str">
        <f>""</f>
        <v/>
      </c>
      <c r="K2336" s="1" t="str">
        <f>""</f>
        <v/>
      </c>
      <c r="L2336" s="1" t="str">
        <f t="shared" si="663"/>
        <v>R</v>
      </c>
      <c r="M2336" s="1" t="str">
        <f>""</f>
        <v/>
      </c>
      <c r="N2336" s="1" t="str">
        <f t="shared" si="665"/>
        <v>Y</v>
      </c>
      <c r="O2336" s="1" t="str">
        <f t="shared" si="668"/>
        <v>Y</v>
      </c>
      <c r="P2336" s="1" t="str">
        <f t="shared" si="667"/>
        <v>Y</v>
      </c>
      <c r="Q2336" s="1" t="str">
        <f t="shared" si="669"/>
        <v>A</v>
      </c>
    </row>
    <row r="2337" spans="1:17" x14ac:dyDescent="0.3">
      <c r="A2337" s="1" t="str">
        <f t="shared" si="658"/>
        <v>ZC</v>
      </c>
      <c r="B2337" s="1" t="str">
        <f>"US01023"</f>
        <v>US01023</v>
      </c>
      <c r="C2337" s="1" t="str">
        <f>"기타 신장의 이상소견"</f>
        <v>기타 신장의 이상소견</v>
      </c>
      <c r="D2337" s="1" t="s">
        <v>729</v>
      </c>
      <c r="E2337" s="1" t="str">
        <f>""</f>
        <v/>
      </c>
      <c r="F2337" s="1" t="str">
        <f>""</f>
        <v/>
      </c>
      <c r="G2337" s="1" t="str">
        <f>""</f>
        <v/>
      </c>
      <c r="H2337" s="1" t="str">
        <f>""</f>
        <v/>
      </c>
      <c r="I2337" s="1" t="str">
        <f>""</f>
        <v/>
      </c>
      <c r="J2337" s="1" t="str">
        <f>""</f>
        <v/>
      </c>
      <c r="K2337" s="1" t="str">
        <f>""</f>
        <v/>
      </c>
      <c r="L2337" s="1" t="str">
        <f t="shared" si="663"/>
        <v>R</v>
      </c>
      <c r="M2337" s="1" t="str">
        <f>""</f>
        <v/>
      </c>
      <c r="N2337" s="1" t="str">
        <f t="shared" si="665"/>
        <v>Y</v>
      </c>
      <c r="O2337" s="1" t="str">
        <f t="shared" si="668"/>
        <v>Y</v>
      </c>
      <c r="P2337" s="1" t="str">
        <f t="shared" si="667"/>
        <v>Y</v>
      </c>
      <c r="Q2337" s="1" t="str">
        <f t="shared" si="669"/>
        <v>A</v>
      </c>
    </row>
    <row r="2338" spans="1:17" x14ac:dyDescent="0.3">
      <c r="A2338" s="1" t="str">
        <f t="shared" si="658"/>
        <v>ZC</v>
      </c>
      <c r="B2338" s="1" t="str">
        <f>"US01024"</f>
        <v>US01024</v>
      </c>
      <c r="C2338" s="1" t="str">
        <f>"좌신 낭종"</f>
        <v>좌신 낭종</v>
      </c>
      <c r="D2338" s="1" t="s">
        <v>730</v>
      </c>
      <c r="E2338" s="1" t="str">
        <f>""</f>
        <v/>
      </c>
      <c r="F2338" s="1" t="str">
        <f>""</f>
        <v/>
      </c>
      <c r="G2338" s="1" t="str">
        <f>""</f>
        <v/>
      </c>
      <c r="H2338" s="1" t="str">
        <f>""</f>
        <v/>
      </c>
      <c r="I2338" s="1" t="str">
        <f>""</f>
        <v/>
      </c>
      <c r="J2338" s="1" t="str">
        <f>""</f>
        <v/>
      </c>
      <c r="K2338" s="1" t="str">
        <f>""</f>
        <v/>
      </c>
      <c r="L2338" s="1" t="str">
        <f t="shared" si="663"/>
        <v>R</v>
      </c>
      <c r="M2338" s="1" t="str">
        <f>""</f>
        <v/>
      </c>
      <c r="N2338" s="1" t="str">
        <f t="shared" si="665"/>
        <v>Y</v>
      </c>
      <c r="O2338" s="1" t="str">
        <f t="shared" si="668"/>
        <v>Y</v>
      </c>
      <c r="P2338" s="1" t="str">
        <f t="shared" si="667"/>
        <v>Y</v>
      </c>
      <c r="Q2338" s="1" t="str">
        <f t="shared" si="669"/>
        <v>A</v>
      </c>
    </row>
    <row r="2339" spans="1:17" x14ac:dyDescent="0.3">
      <c r="A2339" s="1" t="str">
        <f t="shared" si="658"/>
        <v>ZC</v>
      </c>
      <c r="B2339" s="1" t="str">
        <f>"US01025"</f>
        <v>US01025</v>
      </c>
      <c r="C2339" s="1" t="str">
        <f>"우신 낭종"</f>
        <v>우신 낭종</v>
      </c>
      <c r="D2339" s="1" t="s">
        <v>731</v>
      </c>
      <c r="E2339" s="1" t="str">
        <f>""</f>
        <v/>
      </c>
      <c r="F2339" s="1" t="str">
        <f>""</f>
        <v/>
      </c>
      <c r="G2339" s="1" t="str">
        <f>""</f>
        <v/>
      </c>
      <c r="H2339" s="1" t="str">
        <f>""</f>
        <v/>
      </c>
      <c r="I2339" s="1" t="str">
        <f>""</f>
        <v/>
      </c>
      <c r="J2339" s="1" t="str">
        <f>""</f>
        <v/>
      </c>
      <c r="K2339" s="1" t="str">
        <f>""</f>
        <v/>
      </c>
      <c r="L2339" s="1" t="str">
        <f t="shared" si="663"/>
        <v>R</v>
      </c>
      <c r="M2339" s="1" t="str">
        <f>""</f>
        <v/>
      </c>
      <c r="N2339" s="1" t="str">
        <f t="shared" si="665"/>
        <v>Y</v>
      </c>
      <c r="O2339" s="1" t="str">
        <f t="shared" si="668"/>
        <v>Y</v>
      </c>
      <c r="P2339" s="1" t="str">
        <f t="shared" si="667"/>
        <v>Y</v>
      </c>
      <c r="Q2339" s="1" t="str">
        <f t="shared" si="669"/>
        <v>A</v>
      </c>
    </row>
    <row r="2340" spans="1:17" x14ac:dyDescent="0.3">
      <c r="A2340" s="1" t="str">
        <f t="shared" si="658"/>
        <v>ZC</v>
      </c>
      <c r="B2340" s="1" t="str">
        <f>"US01026"</f>
        <v>US01026</v>
      </c>
      <c r="C2340" s="1" t="str">
        <f>"양측 신장 낭종"</f>
        <v>양측 신장 낭종</v>
      </c>
      <c r="D2340" s="1" t="s">
        <v>732</v>
      </c>
      <c r="E2340" s="1" t="str">
        <f>""</f>
        <v/>
      </c>
      <c r="F2340" s="1" t="str">
        <f>""</f>
        <v/>
      </c>
      <c r="G2340" s="1" t="str">
        <f>""</f>
        <v/>
      </c>
      <c r="H2340" s="1" t="str">
        <f>""</f>
        <v/>
      </c>
      <c r="I2340" s="1" t="str">
        <f>""</f>
        <v/>
      </c>
      <c r="J2340" s="1" t="str">
        <f>""</f>
        <v/>
      </c>
      <c r="K2340" s="1" t="str">
        <f>""</f>
        <v/>
      </c>
      <c r="L2340" s="1" t="str">
        <f t="shared" si="663"/>
        <v>R</v>
      </c>
      <c r="M2340" s="1" t="str">
        <f>""</f>
        <v/>
      </c>
      <c r="N2340" s="1" t="str">
        <f t="shared" si="665"/>
        <v>Y</v>
      </c>
      <c r="O2340" s="1" t="str">
        <f t="shared" si="668"/>
        <v>Y</v>
      </c>
      <c r="P2340" s="1" t="str">
        <f t="shared" si="667"/>
        <v>Y</v>
      </c>
      <c r="Q2340" s="1" t="str">
        <f t="shared" si="669"/>
        <v>A</v>
      </c>
    </row>
    <row r="2341" spans="1:17" x14ac:dyDescent="0.3">
      <c r="A2341" s="1" t="str">
        <f t="shared" si="658"/>
        <v>ZC</v>
      </c>
      <c r="B2341" s="1" t="str">
        <f>"US01027"</f>
        <v>US01027</v>
      </c>
      <c r="C2341" s="1" t="str">
        <f>"좌측 신장 결석"</f>
        <v>좌측 신장 결석</v>
      </c>
      <c r="D2341" s="1" t="str">
        <f>"복부초음파 검사에서 신장결석이 발견됩니다. 결석은 그 자체로는 별 문제가 없으나 장기내에서 움직이다 담관 등을 막는 경우 염증과 함께 격심한 통증을 유발할 수 있습니다. 초음파 검사로 상태 변화를 관찰하는 것이 필요합니다."</f>
        <v>복부초음파 검사에서 신장결석이 발견됩니다. 결석은 그 자체로는 별 문제가 없으나 장기내에서 움직이다 담관 등을 막는 경우 염증과 함께 격심한 통증을 유발할 수 있습니다. 초음파 검사로 상태 변화를 관찰하는 것이 필요합니다.</v>
      </c>
      <c r="E2341" s="1" t="str">
        <f>""</f>
        <v/>
      </c>
      <c r="F2341" s="1" t="str">
        <f>""</f>
        <v/>
      </c>
      <c r="G2341" s="1" t="str">
        <f>""</f>
        <v/>
      </c>
      <c r="H2341" s="1" t="str">
        <f>""</f>
        <v/>
      </c>
      <c r="I2341" s="1" t="str">
        <f>""</f>
        <v/>
      </c>
      <c r="J2341" s="1" t="str">
        <f>""</f>
        <v/>
      </c>
      <c r="K2341" s="1" t="str">
        <f>""</f>
        <v/>
      </c>
      <c r="L2341" s="1" t="str">
        <f t="shared" si="663"/>
        <v>R</v>
      </c>
      <c r="M2341" s="1" t="str">
        <f>""</f>
        <v/>
      </c>
      <c r="N2341" s="1" t="str">
        <f t="shared" si="665"/>
        <v>Y</v>
      </c>
      <c r="O2341" s="1" t="str">
        <f t="shared" si="668"/>
        <v>Y</v>
      </c>
      <c r="P2341" s="1" t="str">
        <f t="shared" si="667"/>
        <v>Y</v>
      </c>
      <c r="Q2341" s="1" t="str">
        <f t="shared" si="669"/>
        <v>A</v>
      </c>
    </row>
    <row r="2342" spans="1:17" x14ac:dyDescent="0.3">
      <c r="A2342" s="1" t="str">
        <f t="shared" si="658"/>
        <v>ZC</v>
      </c>
      <c r="B2342" s="1" t="str">
        <f>"US01028"</f>
        <v>US01028</v>
      </c>
      <c r="C2342" s="1" t="str">
        <f>"우측 신장 결석"</f>
        <v>우측 신장 결석</v>
      </c>
      <c r="D2342" s="1" t="str">
        <f>"복부초음파 검사에서 신장결석이 발견됩니다. 결석은 그 자체로는 별 문제가 없으나 장기내에서 움직이다 담관 등을 막는 경우 염증과 함께 격심한 통증을 유발할 수 있습니다. 초음파 검사로 상태 변화를 관찰하는 것이 필요합니다."</f>
        <v>복부초음파 검사에서 신장결석이 발견됩니다. 결석은 그 자체로는 별 문제가 없으나 장기내에서 움직이다 담관 등을 막는 경우 염증과 함께 격심한 통증을 유발할 수 있습니다. 초음파 검사로 상태 변화를 관찰하는 것이 필요합니다.</v>
      </c>
      <c r="E2342" s="1" t="str">
        <f>""</f>
        <v/>
      </c>
      <c r="F2342" s="1" t="str">
        <f>""</f>
        <v/>
      </c>
      <c r="G2342" s="1" t="str">
        <f>""</f>
        <v/>
      </c>
      <c r="H2342" s="1" t="str">
        <f>""</f>
        <v/>
      </c>
      <c r="I2342" s="1" t="str">
        <f>""</f>
        <v/>
      </c>
      <c r="J2342" s="1" t="str">
        <f>""</f>
        <v/>
      </c>
      <c r="K2342" s="1" t="str">
        <f>""</f>
        <v/>
      </c>
      <c r="L2342" s="1" t="str">
        <f t="shared" si="663"/>
        <v>R</v>
      </c>
      <c r="M2342" s="1" t="str">
        <f>""</f>
        <v/>
      </c>
      <c r="N2342" s="1" t="str">
        <f t="shared" si="665"/>
        <v>Y</v>
      </c>
      <c r="O2342" s="1" t="str">
        <f t="shared" si="668"/>
        <v>Y</v>
      </c>
      <c r="P2342" s="1" t="str">
        <f t="shared" si="667"/>
        <v>Y</v>
      </c>
      <c r="Q2342" s="1" t="str">
        <f t="shared" si="669"/>
        <v>A</v>
      </c>
    </row>
    <row r="2343" spans="1:17" x14ac:dyDescent="0.3">
      <c r="A2343" s="1" t="str">
        <f t="shared" si="658"/>
        <v>ZC</v>
      </c>
      <c r="B2343" s="1" t="str">
        <f>"US01029"</f>
        <v>US01029</v>
      </c>
      <c r="C2343" s="1" t="str">
        <f>"양측 신장 결석"</f>
        <v>양측 신장 결석</v>
      </c>
      <c r="D2343" s="1" t="str">
        <f>"복부초음파 검사에서 신장결석이 발견됩니다. 결석은 그 자체로는 별 문제가 없으나 장기내에서 움직이다 담관 등을 막는 경우 염증과 함께 격심한 통증을 유발할 수 있습니다. 초음파 검사로 상태 변화를 관찰하는 것이 필요합니다."</f>
        <v>복부초음파 검사에서 신장결석이 발견됩니다. 결석은 그 자체로는 별 문제가 없으나 장기내에서 움직이다 담관 등을 막는 경우 염증과 함께 격심한 통증을 유발할 수 있습니다. 초음파 검사로 상태 변화를 관찰하는 것이 필요합니다.</v>
      </c>
      <c r="E2343" s="1" t="str">
        <f>""</f>
        <v/>
      </c>
      <c r="F2343" s="1" t="str">
        <f>""</f>
        <v/>
      </c>
      <c r="G2343" s="1" t="str">
        <f>""</f>
        <v/>
      </c>
      <c r="H2343" s="1" t="str">
        <f>""</f>
        <v/>
      </c>
      <c r="I2343" s="1" t="str">
        <f>""</f>
        <v/>
      </c>
      <c r="J2343" s="1" t="str">
        <f>""</f>
        <v/>
      </c>
      <c r="K2343" s="1" t="str">
        <f>""</f>
        <v/>
      </c>
      <c r="L2343" s="1" t="str">
        <f t="shared" si="663"/>
        <v>R</v>
      </c>
      <c r="M2343" s="1" t="str">
        <f>""</f>
        <v/>
      </c>
      <c r="N2343" s="1" t="str">
        <f t="shared" si="665"/>
        <v>Y</v>
      </c>
      <c r="O2343" s="1" t="str">
        <f t="shared" si="668"/>
        <v>Y</v>
      </c>
      <c r="P2343" s="1" t="str">
        <f t="shared" si="667"/>
        <v>Y</v>
      </c>
      <c r="Q2343" s="1" t="str">
        <f t="shared" si="669"/>
        <v>A</v>
      </c>
    </row>
    <row r="2344" spans="1:17" x14ac:dyDescent="0.3">
      <c r="A2344" s="1" t="str">
        <f t="shared" si="658"/>
        <v>ZC</v>
      </c>
      <c r="B2344" s="1" t="str">
        <f>"US01030"</f>
        <v>US01030</v>
      </c>
      <c r="C2344" s="1" t="str">
        <f>"신장 위축 소견"</f>
        <v>신장 위축 소견</v>
      </c>
      <c r="D2344" s="1" t="s">
        <v>733</v>
      </c>
      <c r="E2344" s="1" t="str">
        <f>""</f>
        <v/>
      </c>
      <c r="F2344" s="1" t="str">
        <f>""</f>
        <v/>
      </c>
      <c r="G2344" s="1" t="str">
        <f>""</f>
        <v/>
      </c>
      <c r="H2344" s="1" t="str">
        <f>""</f>
        <v/>
      </c>
      <c r="I2344" s="1" t="str">
        <f>""</f>
        <v/>
      </c>
      <c r="J2344" s="1" t="str">
        <f>""</f>
        <v/>
      </c>
      <c r="K2344" s="1" t="str">
        <f>""</f>
        <v/>
      </c>
      <c r="L2344" s="1" t="str">
        <f t="shared" si="663"/>
        <v>R</v>
      </c>
      <c r="M2344" s="1" t="str">
        <f>""</f>
        <v/>
      </c>
      <c r="N2344" s="1" t="str">
        <f t="shared" si="665"/>
        <v>Y</v>
      </c>
      <c r="O2344" s="1" t="str">
        <f t="shared" si="668"/>
        <v>Y</v>
      </c>
      <c r="P2344" s="1" t="str">
        <f t="shared" si="667"/>
        <v>Y</v>
      </c>
      <c r="Q2344" s="1" t="str">
        <f t="shared" si="669"/>
        <v>A</v>
      </c>
    </row>
    <row r="2345" spans="1:17" x14ac:dyDescent="0.3">
      <c r="A2345" s="1" t="str">
        <f t="shared" si="658"/>
        <v>ZC</v>
      </c>
      <c r="B2345" s="1" t="str">
        <f>"US01031"</f>
        <v>US01031</v>
      </c>
      <c r="C2345" s="1" t="str">
        <f>"만성 신장질환"</f>
        <v>만성 신장질환</v>
      </c>
      <c r="D2345" s="1" t="s">
        <v>489</v>
      </c>
      <c r="E2345" s="1" t="str">
        <f>""</f>
        <v/>
      </c>
      <c r="F2345" s="1" t="str">
        <f>""</f>
        <v/>
      </c>
      <c r="G2345" s="1" t="str">
        <f>""</f>
        <v/>
      </c>
      <c r="H2345" s="1" t="str">
        <f>""</f>
        <v/>
      </c>
      <c r="I2345" s="1" t="str">
        <f>""</f>
        <v/>
      </c>
      <c r="J2345" s="1" t="str">
        <f>""</f>
        <v/>
      </c>
      <c r="K2345" s="1" t="str">
        <f>""</f>
        <v/>
      </c>
      <c r="L2345" s="1" t="str">
        <f t="shared" si="663"/>
        <v>R</v>
      </c>
      <c r="M2345" s="1" t="str">
        <f>""</f>
        <v/>
      </c>
      <c r="N2345" s="1" t="str">
        <f t="shared" si="665"/>
        <v>Y</v>
      </c>
      <c r="O2345" s="1" t="str">
        <f t="shared" si="668"/>
        <v>Y</v>
      </c>
      <c r="P2345" s="1" t="str">
        <f t="shared" si="667"/>
        <v>Y</v>
      </c>
      <c r="Q2345" s="1" t="str">
        <f t="shared" si="669"/>
        <v>A</v>
      </c>
    </row>
    <row r="2346" spans="1:17" x14ac:dyDescent="0.3">
      <c r="A2346" s="1" t="str">
        <f t="shared" si="658"/>
        <v>ZC</v>
      </c>
      <c r="B2346" s="1" t="str">
        <f>"US01032"</f>
        <v>US01032</v>
      </c>
      <c r="C2346" s="1" t="str">
        <f>"기타 비장의 이상소견"</f>
        <v>기타 비장의 이상소견</v>
      </c>
      <c r="D2346" s="1" t="s">
        <v>473</v>
      </c>
      <c r="E2346" s="1" t="str">
        <f>""</f>
        <v/>
      </c>
      <c r="F2346" s="1" t="str">
        <f>""</f>
        <v/>
      </c>
      <c r="G2346" s="1" t="str">
        <f>""</f>
        <v/>
      </c>
      <c r="H2346" s="1" t="str">
        <f>""</f>
        <v/>
      </c>
      <c r="I2346" s="1" t="str">
        <f>""</f>
        <v/>
      </c>
      <c r="J2346" s="1" t="str">
        <f>""</f>
        <v/>
      </c>
      <c r="K2346" s="1" t="str">
        <f>""</f>
        <v/>
      </c>
      <c r="L2346" s="1" t="str">
        <f t="shared" si="663"/>
        <v>R</v>
      </c>
      <c r="M2346" s="1" t="str">
        <f>""</f>
        <v/>
      </c>
      <c r="N2346" s="1" t="str">
        <f t="shared" si="665"/>
        <v>Y</v>
      </c>
      <c r="O2346" s="1" t="str">
        <f t="shared" si="668"/>
        <v>Y</v>
      </c>
      <c r="P2346" s="1" t="str">
        <f t="shared" si="667"/>
        <v>Y</v>
      </c>
      <c r="Q2346" s="1" t="str">
        <f t="shared" si="669"/>
        <v>A</v>
      </c>
    </row>
    <row r="2347" spans="1:17" x14ac:dyDescent="0.3">
      <c r="A2347" s="1" t="str">
        <f t="shared" si="658"/>
        <v>ZC</v>
      </c>
      <c r="B2347" s="1" t="str">
        <f>"US01033"</f>
        <v>US01033</v>
      </c>
      <c r="C2347" s="1" t="str">
        <f>"비장 비대"</f>
        <v>비장 비대</v>
      </c>
      <c r="D2347" s="1" t="s">
        <v>734</v>
      </c>
      <c r="E2347" s="1" t="str">
        <f>""</f>
        <v/>
      </c>
      <c r="F2347" s="1" t="str">
        <f>""</f>
        <v/>
      </c>
      <c r="G2347" s="1" t="str">
        <f>""</f>
        <v/>
      </c>
      <c r="H2347" s="1" t="str">
        <f>""</f>
        <v/>
      </c>
      <c r="I2347" s="1" t="str">
        <f>""</f>
        <v/>
      </c>
      <c r="J2347" s="1" t="str">
        <f>""</f>
        <v/>
      </c>
      <c r="K2347" s="1" t="str">
        <f>""</f>
        <v/>
      </c>
      <c r="L2347" s="1" t="str">
        <f t="shared" si="663"/>
        <v>R</v>
      </c>
      <c r="M2347" s="1" t="str">
        <f>""</f>
        <v/>
      </c>
      <c r="N2347" s="1" t="str">
        <f t="shared" si="665"/>
        <v>Y</v>
      </c>
      <c r="O2347" s="1" t="str">
        <f t="shared" si="668"/>
        <v>Y</v>
      </c>
      <c r="P2347" s="1" t="str">
        <f t="shared" si="667"/>
        <v>Y</v>
      </c>
      <c r="Q2347" s="1" t="str">
        <f t="shared" si="669"/>
        <v>A</v>
      </c>
    </row>
    <row r="2348" spans="1:17" x14ac:dyDescent="0.3">
      <c r="A2348" s="1" t="str">
        <f t="shared" si="658"/>
        <v>ZC</v>
      </c>
      <c r="B2348" s="1" t="str">
        <f>"US01034"</f>
        <v>US01034</v>
      </c>
      <c r="C2348" s="1" t="str">
        <f>"기타 췌장의 이상소견"</f>
        <v>기타 췌장의 이상소견</v>
      </c>
      <c r="D2348" s="1" t="s">
        <v>475</v>
      </c>
      <c r="E2348" s="1" t="str">
        <f>""</f>
        <v/>
      </c>
      <c r="F2348" s="1" t="str">
        <f>""</f>
        <v/>
      </c>
      <c r="G2348" s="1" t="str">
        <f>""</f>
        <v/>
      </c>
      <c r="H2348" s="1" t="str">
        <f>""</f>
        <v/>
      </c>
      <c r="I2348" s="1" t="str">
        <f>""</f>
        <v/>
      </c>
      <c r="J2348" s="1" t="str">
        <f>""</f>
        <v/>
      </c>
      <c r="K2348" s="1" t="str">
        <f>""</f>
        <v/>
      </c>
      <c r="L2348" s="1" t="str">
        <f t="shared" si="663"/>
        <v>R</v>
      </c>
      <c r="M2348" s="1" t="str">
        <f>""</f>
        <v/>
      </c>
      <c r="N2348" s="1" t="str">
        <f t="shared" si="665"/>
        <v>Y</v>
      </c>
      <c r="O2348" s="1" t="str">
        <f t="shared" si="668"/>
        <v>Y</v>
      </c>
      <c r="P2348" s="1" t="str">
        <f t="shared" si="667"/>
        <v>Y</v>
      </c>
      <c r="Q2348" s="1" t="str">
        <f t="shared" si="669"/>
        <v>A</v>
      </c>
    </row>
    <row r="2349" spans="1:17" x14ac:dyDescent="0.3">
      <c r="A2349" s="1" t="str">
        <f t="shared" si="658"/>
        <v>ZC</v>
      </c>
      <c r="B2349" s="1" t="str">
        <f>"US01035"</f>
        <v>US01035</v>
      </c>
      <c r="C2349" s="1" t="str">
        <f>"췌장 위축"</f>
        <v>췌장 위축</v>
      </c>
      <c r="D2349" s="1" t="s">
        <v>735</v>
      </c>
      <c r="E2349" s="1" t="str">
        <f>""</f>
        <v/>
      </c>
      <c r="F2349" s="1" t="str">
        <f>""</f>
        <v/>
      </c>
      <c r="G2349" s="1" t="str">
        <f>""</f>
        <v/>
      </c>
      <c r="H2349" s="1" t="str">
        <f>""</f>
        <v/>
      </c>
      <c r="I2349" s="1" t="str">
        <f>""</f>
        <v/>
      </c>
      <c r="J2349" s="1" t="str">
        <f>""</f>
        <v/>
      </c>
      <c r="K2349" s="1" t="str">
        <f>""</f>
        <v/>
      </c>
      <c r="L2349" s="1" t="str">
        <f t="shared" si="663"/>
        <v>R</v>
      </c>
      <c r="M2349" s="1" t="str">
        <f>""</f>
        <v/>
      </c>
      <c r="N2349" s="1" t="str">
        <f t="shared" si="665"/>
        <v>Y</v>
      </c>
      <c r="O2349" s="1" t="str">
        <f t="shared" si="668"/>
        <v>Y</v>
      </c>
      <c r="P2349" s="1" t="str">
        <f t="shared" si="667"/>
        <v>Y</v>
      </c>
      <c r="Q2349" s="1" t="str">
        <f t="shared" si="669"/>
        <v>A</v>
      </c>
    </row>
    <row r="2350" spans="1:17" x14ac:dyDescent="0.3">
      <c r="A2350" s="1" t="str">
        <f t="shared" si="658"/>
        <v>ZC</v>
      </c>
      <c r="B2350" s="1" t="str">
        <f>"US01036"</f>
        <v>US01036</v>
      </c>
      <c r="C2350" s="1" t="str">
        <f>"췌장 관찰 불가(금식재검)"</f>
        <v>췌장 관찰 불가(금식재검)</v>
      </c>
      <c r="D2350" s="1" t="s">
        <v>431</v>
      </c>
      <c r="E2350" s="1" t="str">
        <f>""</f>
        <v/>
      </c>
      <c r="F2350" s="1" t="str">
        <f>""</f>
        <v/>
      </c>
      <c r="G2350" s="1" t="str">
        <f>""</f>
        <v/>
      </c>
      <c r="H2350" s="1" t="str">
        <f>""</f>
        <v/>
      </c>
      <c r="I2350" s="1" t="str">
        <f>""</f>
        <v/>
      </c>
      <c r="J2350" s="1" t="str">
        <f>""</f>
        <v/>
      </c>
      <c r="K2350" s="1" t="str">
        <f>""</f>
        <v/>
      </c>
      <c r="L2350" s="1" t="str">
        <f t="shared" si="663"/>
        <v>R</v>
      </c>
      <c r="M2350" s="1" t="str">
        <f>""</f>
        <v/>
      </c>
      <c r="N2350" s="1" t="str">
        <f t="shared" si="665"/>
        <v>Y</v>
      </c>
      <c r="O2350" s="1" t="str">
        <f t="shared" si="668"/>
        <v>Y</v>
      </c>
      <c r="P2350" s="1" t="str">
        <f t="shared" si="667"/>
        <v>Y</v>
      </c>
      <c r="Q2350" s="1" t="str">
        <f t="shared" si="669"/>
        <v>A</v>
      </c>
    </row>
    <row r="2351" spans="1:17" x14ac:dyDescent="0.3">
      <c r="A2351" s="1" t="str">
        <f t="shared" si="658"/>
        <v>ZC</v>
      </c>
      <c r="B2351" s="1" t="str">
        <f>"US01037"</f>
        <v>US01037</v>
      </c>
      <c r="C2351" s="1" t="str">
        <f>"간 종괴"</f>
        <v>간 종괴</v>
      </c>
      <c r="D2351" s="1" t="s">
        <v>476</v>
      </c>
      <c r="E2351" s="1" t="str">
        <f>""</f>
        <v/>
      </c>
      <c r="F2351" s="1" t="str">
        <f>""</f>
        <v/>
      </c>
      <c r="G2351" s="1" t="str">
        <f>""</f>
        <v/>
      </c>
      <c r="H2351" s="1" t="str">
        <f>""</f>
        <v/>
      </c>
      <c r="I2351" s="1" t="str">
        <f>""</f>
        <v/>
      </c>
      <c r="J2351" s="1" t="str">
        <f>""</f>
        <v/>
      </c>
      <c r="K2351" s="1" t="str">
        <f>""</f>
        <v/>
      </c>
      <c r="L2351" s="1" t="str">
        <f t="shared" si="663"/>
        <v>R</v>
      </c>
      <c r="M2351" s="1" t="str">
        <f>""</f>
        <v/>
      </c>
      <c r="N2351" s="1" t="str">
        <f t="shared" si="665"/>
        <v>Y</v>
      </c>
      <c r="O2351" s="1" t="str">
        <f t="shared" si="668"/>
        <v>Y</v>
      </c>
      <c r="P2351" s="1" t="str">
        <f t="shared" si="667"/>
        <v>Y</v>
      </c>
      <c r="Q2351" s="1" t="str">
        <f t="shared" si="669"/>
        <v>A</v>
      </c>
    </row>
    <row r="2352" spans="1:17" x14ac:dyDescent="0.3">
      <c r="A2352" s="1" t="str">
        <f t="shared" si="658"/>
        <v>ZC</v>
      </c>
      <c r="B2352" s="1" t="str">
        <f>"US01038"</f>
        <v>US01038</v>
      </c>
      <c r="C2352" s="1" t="str">
        <f>"간경화"</f>
        <v>간경화</v>
      </c>
      <c r="D2352" s="1" t="s">
        <v>478</v>
      </c>
      <c r="E2352" s="1" t="str">
        <f>""</f>
        <v/>
      </c>
      <c r="F2352" s="1" t="str">
        <f>""</f>
        <v/>
      </c>
      <c r="G2352" s="1" t="str">
        <f>""</f>
        <v/>
      </c>
      <c r="H2352" s="1" t="str">
        <f>""</f>
        <v/>
      </c>
      <c r="I2352" s="1" t="str">
        <f>""</f>
        <v/>
      </c>
      <c r="J2352" s="1" t="str">
        <f>""</f>
        <v/>
      </c>
      <c r="K2352" s="1" t="str">
        <f>""</f>
        <v/>
      </c>
      <c r="L2352" s="1" t="str">
        <f t="shared" si="663"/>
        <v>R</v>
      </c>
      <c r="M2352" s="1" t="str">
        <f>""</f>
        <v/>
      </c>
      <c r="N2352" s="1" t="str">
        <f t="shared" si="665"/>
        <v>Y</v>
      </c>
      <c r="O2352" s="1" t="str">
        <f t="shared" si="668"/>
        <v>Y</v>
      </c>
      <c r="P2352" s="1" t="str">
        <f t="shared" si="667"/>
        <v>Y</v>
      </c>
      <c r="Q2352" s="1" t="str">
        <f t="shared" si="669"/>
        <v>A</v>
      </c>
    </row>
    <row r="2353" spans="1:17" x14ac:dyDescent="0.3">
      <c r="A2353" s="1" t="str">
        <f t="shared" si="658"/>
        <v>ZC</v>
      </c>
      <c r="B2353" s="1" t="str">
        <f>"US01039"</f>
        <v>US01039</v>
      </c>
      <c r="C2353" s="1" t="str">
        <f>"당낭 종괴"</f>
        <v>당낭 종괴</v>
      </c>
      <c r="D2353" s="1" t="str">
        <f>"복부초음파 검사 결과 담낭에 덩어리(종괴)를 의심케하는 소견이 나타납니다. 정밀검사를 위해 내원하여 상담하시기 바랍니다."</f>
        <v>복부초음파 검사 결과 담낭에 덩어리(종괴)를 의심케하는 소견이 나타납니다. 정밀검사를 위해 내원하여 상담하시기 바랍니다.</v>
      </c>
      <c r="E2353" s="1" t="str">
        <f>""</f>
        <v/>
      </c>
      <c r="F2353" s="1" t="str">
        <f>""</f>
        <v/>
      </c>
      <c r="G2353" s="1" t="str">
        <f>""</f>
        <v/>
      </c>
      <c r="H2353" s="1" t="str">
        <f>""</f>
        <v/>
      </c>
      <c r="I2353" s="1" t="str">
        <f>""</f>
        <v/>
      </c>
      <c r="J2353" s="1" t="str">
        <f>""</f>
        <v/>
      </c>
      <c r="K2353" s="1" t="str">
        <f>""</f>
        <v/>
      </c>
      <c r="L2353" s="1" t="str">
        <f t="shared" si="663"/>
        <v>R</v>
      </c>
      <c r="M2353" s="1" t="str">
        <f>""</f>
        <v/>
      </c>
      <c r="N2353" s="1" t="str">
        <f t="shared" si="665"/>
        <v>Y</v>
      </c>
      <c r="O2353" s="1" t="str">
        <f t="shared" si="668"/>
        <v>Y</v>
      </c>
      <c r="P2353" s="1" t="str">
        <f t="shared" si="667"/>
        <v>Y</v>
      </c>
      <c r="Q2353" s="1" t="str">
        <f t="shared" si="669"/>
        <v>A</v>
      </c>
    </row>
    <row r="2354" spans="1:17" x14ac:dyDescent="0.3">
      <c r="A2354" s="1" t="str">
        <f t="shared" si="658"/>
        <v>ZC</v>
      </c>
      <c r="B2354" s="1" t="str">
        <f>"US01040"</f>
        <v>US01040</v>
      </c>
      <c r="C2354" s="1" t="str">
        <f>"췌장 종괴"</f>
        <v>췌장 종괴</v>
      </c>
      <c r="D2354" s="1" t="s">
        <v>736</v>
      </c>
      <c r="E2354" s="1" t="str">
        <f>""</f>
        <v/>
      </c>
      <c r="F2354" s="1" t="str">
        <f>""</f>
        <v/>
      </c>
      <c r="G2354" s="1" t="str">
        <f>""</f>
        <v/>
      </c>
      <c r="H2354" s="1" t="str">
        <f>""</f>
        <v/>
      </c>
      <c r="I2354" s="1" t="str">
        <f>""</f>
        <v/>
      </c>
      <c r="J2354" s="1" t="str">
        <f>""</f>
        <v/>
      </c>
      <c r="K2354" s="1" t="str">
        <f>""</f>
        <v/>
      </c>
      <c r="L2354" s="1" t="str">
        <f t="shared" si="663"/>
        <v>R</v>
      </c>
      <c r="M2354" s="1" t="str">
        <f>""</f>
        <v/>
      </c>
      <c r="N2354" s="1" t="str">
        <f t="shared" si="665"/>
        <v>Y</v>
      </c>
      <c r="O2354" s="1" t="str">
        <f t="shared" si="668"/>
        <v>Y</v>
      </c>
      <c r="P2354" s="1" t="str">
        <f t="shared" si="667"/>
        <v>Y</v>
      </c>
      <c r="Q2354" s="1" t="str">
        <f t="shared" si="669"/>
        <v>A</v>
      </c>
    </row>
    <row r="2355" spans="1:17" x14ac:dyDescent="0.3">
      <c r="A2355" s="1" t="str">
        <f t="shared" si="658"/>
        <v>ZC</v>
      </c>
      <c r="B2355" s="1" t="str">
        <f>"US01041"</f>
        <v>US01041</v>
      </c>
      <c r="C2355" s="1" t="str">
        <f>"신장 종괴"</f>
        <v>신장 종괴</v>
      </c>
      <c r="D2355" s="1" t="str">
        <f>"복부초음파 검사 결과 신장에 덩어리(종괴)를 의심케하는 소견이 나타납니다. 정밀검사를 위해 내원하여 상담하시기 바랍니다. "</f>
        <v xml:space="preserve">복부초음파 검사 결과 신장에 덩어리(종괴)를 의심케하는 소견이 나타납니다. 정밀검사를 위해 내원하여 상담하시기 바랍니다. </v>
      </c>
      <c r="E2355" s="1" t="str">
        <f>""</f>
        <v/>
      </c>
      <c r="F2355" s="1" t="str">
        <f>""</f>
        <v/>
      </c>
      <c r="G2355" s="1" t="str">
        <f>""</f>
        <v/>
      </c>
      <c r="H2355" s="1" t="str">
        <f>""</f>
        <v/>
      </c>
      <c r="I2355" s="1" t="str">
        <f>""</f>
        <v/>
      </c>
      <c r="J2355" s="1" t="str">
        <f>""</f>
        <v/>
      </c>
      <c r="K2355" s="1" t="str">
        <f>""</f>
        <v/>
      </c>
      <c r="L2355" s="1" t="str">
        <f t="shared" si="663"/>
        <v>R</v>
      </c>
      <c r="M2355" s="1" t="str">
        <f>""</f>
        <v/>
      </c>
      <c r="N2355" s="1" t="str">
        <f t="shared" si="665"/>
        <v>Y</v>
      </c>
      <c r="O2355" s="1" t="str">
        <f t="shared" si="668"/>
        <v>Y</v>
      </c>
      <c r="P2355" s="1" t="str">
        <f t="shared" si="667"/>
        <v>Y</v>
      </c>
      <c r="Q2355" s="1" t="str">
        <f t="shared" si="669"/>
        <v>A</v>
      </c>
    </row>
    <row r="2356" spans="1:17" x14ac:dyDescent="0.3">
      <c r="A2356" s="1" t="str">
        <f t="shared" si="658"/>
        <v>ZC</v>
      </c>
      <c r="B2356" s="1" t="str">
        <f>"US01042"</f>
        <v>US01042</v>
      </c>
      <c r="C2356" s="1" t="str">
        <f>"기타 복부 초음파 검사의 이상소견"</f>
        <v>기타 복부 초음파 검사의 이상소견</v>
      </c>
      <c r="D2356" s="1" t="s">
        <v>480</v>
      </c>
      <c r="E2356" s="1" t="str">
        <f>""</f>
        <v/>
      </c>
      <c r="F2356" s="1" t="str">
        <f>""</f>
        <v/>
      </c>
      <c r="G2356" s="1" t="str">
        <f>""</f>
        <v/>
      </c>
      <c r="H2356" s="1" t="str">
        <f>""</f>
        <v/>
      </c>
      <c r="I2356" s="1" t="str">
        <f>""</f>
        <v/>
      </c>
      <c r="J2356" s="1" t="str">
        <f>""</f>
        <v/>
      </c>
      <c r="K2356" s="1" t="str">
        <f>""</f>
        <v/>
      </c>
      <c r="L2356" s="1" t="str">
        <f t="shared" si="663"/>
        <v>R</v>
      </c>
      <c r="M2356" s="1" t="str">
        <f>""</f>
        <v/>
      </c>
      <c r="N2356" s="1" t="str">
        <f t="shared" si="665"/>
        <v>Y</v>
      </c>
      <c r="O2356" s="1" t="str">
        <f t="shared" si="668"/>
        <v>Y</v>
      </c>
      <c r="P2356" s="1" t="str">
        <f t="shared" si="667"/>
        <v>Y</v>
      </c>
      <c r="Q2356" s="1" t="str">
        <f t="shared" si="669"/>
        <v>A</v>
      </c>
    </row>
    <row r="2357" spans="1:17" x14ac:dyDescent="0.3">
      <c r="A2357" s="1" t="str">
        <f t="shared" si="658"/>
        <v>ZC</v>
      </c>
      <c r="B2357" s="1" t="str">
        <f>"US01043"</f>
        <v>US01043</v>
      </c>
      <c r="C2357" s="1" t="str">
        <f>"지난 소견과 변화 없음"</f>
        <v>지난 소견과 변화 없음</v>
      </c>
      <c r="D2357" s="1" t="s">
        <v>432</v>
      </c>
      <c r="E2357" s="1" t="str">
        <f>""</f>
        <v/>
      </c>
      <c r="F2357" s="1" t="str">
        <f>""</f>
        <v/>
      </c>
      <c r="G2357" s="1" t="str">
        <f>""</f>
        <v/>
      </c>
      <c r="H2357" s="1" t="str">
        <f>""</f>
        <v/>
      </c>
      <c r="I2357" s="1" t="str">
        <f>""</f>
        <v/>
      </c>
      <c r="J2357" s="1" t="str">
        <f>""</f>
        <v/>
      </c>
      <c r="K2357" s="1" t="str">
        <f>""</f>
        <v/>
      </c>
      <c r="L2357" s="1" t="str">
        <f t="shared" si="663"/>
        <v>R</v>
      </c>
      <c r="M2357" s="1" t="str">
        <f>""</f>
        <v/>
      </c>
      <c r="N2357" s="1" t="str">
        <f t="shared" si="665"/>
        <v>Y</v>
      </c>
      <c r="O2357" s="1" t="str">
        <f t="shared" si="668"/>
        <v>Y</v>
      </c>
      <c r="P2357" s="1" t="str">
        <f t="shared" si="667"/>
        <v>Y</v>
      </c>
      <c r="Q2357" s="1" t="str">
        <f t="shared" si="669"/>
        <v>A</v>
      </c>
    </row>
    <row r="2358" spans="1:17" x14ac:dyDescent="0.3">
      <c r="A2358" s="1" t="str">
        <f t="shared" si="658"/>
        <v>ZC</v>
      </c>
      <c r="B2358" s="1" t="str">
        <f>"US01044"</f>
        <v>US01044</v>
      </c>
      <c r="C2358" s="1" t="s">
        <v>433</v>
      </c>
      <c r="D2358" s="1" t="s">
        <v>434</v>
      </c>
      <c r="E2358" s="1" t="str">
        <f>""</f>
        <v/>
      </c>
      <c r="F2358" s="1" t="str">
        <f>""</f>
        <v/>
      </c>
      <c r="G2358" s="1" t="str">
        <f>""</f>
        <v/>
      </c>
      <c r="H2358" s="1" t="str">
        <f>""</f>
        <v/>
      </c>
      <c r="I2358" s="1" t="str">
        <f>""</f>
        <v/>
      </c>
      <c r="J2358" s="1" t="str">
        <f>""</f>
        <v/>
      </c>
      <c r="K2358" s="1" t="str">
        <f>""</f>
        <v/>
      </c>
      <c r="L2358" s="1" t="str">
        <f t="shared" si="663"/>
        <v>R</v>
      </c>
      <c r="M2358" s="1" t="str">
        <f>""</f>
        <v/>
      </c>
      <c r="N2358" s="1" t="str">
        <f t="shared" si="665"/>
        <v>Y</v>
      </c>
      <c r="O2358" s="1" t="str">
        <f t="shared" si="668"/>
        <v>Y</v>
      </c>
      <c r="P2358" s="1" t="str">
        <f t="shared" si="667"/>
        <v>Y</v>
      </c>
      <c r="Q2358" s="1" t="str">
        <f t="shared" si="669"/>
        <v>A</v>
      </c>
    </row>
    <row r="2359" spans="1:17" x14ac:dyDescent="0.3">
      <c r="A2359" s="1" t="str">
        <f t="shared" si="658"/>
        <v>ZC</v>
      </c>
      <c r="B2359" s="1" t="str">
        <f>"US01045"</f>
        <v>US01045</v>
      </c>
      <c r="C2359" s="1" t="s">
        <v>435</v>
      </c>
      <c r="D2359" s="1" t="str">
        <f>"복부 초음파 검사 결과 지방간과 간 석회화 소견이 보입니다. 금주 및 규칙적 운동을 통하여 건강관리하시고 정기적인 검진을 통하여 경과관찰하시기 바랍니다."</f>
        <v>복부 초음파 검사 결과 지방간과 간 석회화 소견이 보입니다. 금주 및 규칙적 운동을 통하여 건강관리하시고 정기적인 검진을 통하여 경과관찰하시기 바랍니다.</v>
      </c>
      <c r="E2359" s="1" t="str">
        <f>""</f>
        <v/>
      </c>
      <c r="F2359" s="1" t="str">
        <f>""</f>
        <v/>
      </c>
      <c r="G2359" s="1" t="str">
        <f>""</f>
        <v/>
      </c>
      <c r="H2359" s="1" t="str">
        <f>""</f>
        <v/>
      </c>
      <c r="I2359" s="1" t="str">
        <f>""</f>
        <v/>
      </c>
      <c r="J2359" s="1" t="str">
        <f>""</f>
        <v/>
      </c>
      <c r="K2359" s="1" t="str">
        <f>""</f>
        <v/>
      </c>
      <c r="L2359" s="1" t="str">
        <f t="shared" si="663"/>
        <v>R</v>
      </c>
      <c r="M2359" s="1" t="str">
        <f>""</f>
        <v/>
      </c>
      <c r="N2359" s="1" t="str">
        <f t="shared" si="665"/>
        <v>Y</v>
      </c>
      <c r="O2359" s="1" t="str">
        <f t="shared" si="668"/>
        <v>Y</v>
      </c>
      <c r="P2359" s="1" t="str">
        <f t="shared" si="667"/>
        <v>Y</v>
      </c>
      <c r="Q2359" s="1" t="str">
        <f t="shared" si="669"/>
        <v>A</v>
      </c>
    </row>
    <row r="2360" spans="1:17" x14ac:dyDescent="0.3">
      <c r="A2360" s="1" t="str">
        <f t="shared" ref="A2360:A2383" si="670">"ZC"</f>
        <v>ZC</v>
      </c>
      <c r="B2360" s="1" t="str">
        <f>"US01046"</f>
        <v>US01046</v>
      </c>
      <c r="C2360" s="1" t="s">
        <v>436</v>
      </c>
      <c r="D2360" s="1" t="s">
        <v>437</v>
      </c>
      <c r="E2360" s="1" t="str">
        <f>""</f>
        <v/>
      </c>
      <c r="F2360" s="1" t="str">
        <f>""</f>
        <v/>
      </c>
      <c r="G2360" s="1" t="str">
        <f>""</f>
        <v/>
      </c>
      <c r="H2360" s="1" t="str">
        <f>""</f>
        <v/>
      </c>
      <c r="I2360" s="1" t="str">
        <f>""</f>
        <v/>
      </c>
      <c r="J2360" s="1" t="str">
        <f>""</f>
        <v/>
      </c>
      <c r="K2360" s="1" t="str">
        <f>""</f>
        <v/>
      </c>
      <c r="L2360" s="1" t="str">
        <f t="shared" ref="L2360:L2424" si="671">"R"</f>
        <v>R</v>
      </c>
      <c r="M2360" s="1" t="str">
        <f>""</f>
        <v/>
      </c>
      <c r="N2360" s="1" t="str">
        <f t="shared" ref="N2360:N2417" si="672">"Y"</f>
        <v>Y</v>
      </c>
      <c r="O2360" s="1" t="str">
        <f t="shared" si="668"/>
        <v>Y</v>
      </c>
      <c r="P2360" s="1" t="str">
        <f t="shared" si="667"/>
        <v>Y</v>
      </c>
      <c r="Q2360" s="1" t="str">
        <f t="shared" si="669"/>
        <v>A</v>
      </c>
    </row>
    <row r="2361" spans="1:17" x14ac:dyDescent="0.3">
      <c r="A2361" s="1" t="str">
        <f t="shared" si="670"/>
        <v>ZC</v>
      </c>
      <c r="B2361" s="1" t="str">
        <f>"US01047"</f>
        <v>US01047</v>
      </c>
      <c r="C2361" s="1" t="s">
        <v>438</v>
      </c>
      <c r="D2361" s="1" t="s">
        <v>439</v>
      </c>
      <c r="E2361" s="1" t="str">
        <f>""</f>
        <v/>
      </c>
      <c r="F2361" s="1" t="str">
        <f>""</f>
        <v/>
      </c>
      <c r="G2361" s="1" t="str">
        <f>""</f>
        <v/>
      </c>
      <c r="H2361" s="1" t="str">
        <f>""</f>
        <v/>
      </c>
      <c r="I2361" s="1" t="str">
        <f>""</f>
        <v/>
      </c>
      <c r="J2361" s="1" t="str">
        <f>""</f>
        <v/>
      </c>
      <c r="K2361" s="1" t="str">
        <f>""</f>
        <v/>
      </c>
      <c r="L2361" s="1" t="str">
        <f t="shared" si="671"/>
        <v>R</v>
      </c>
      <c r="M2361" s="1" t="str">
        <f>""</f>
        <v/>
      </c>
      <c r="N2361" s="1" t="str">
        <f t="shared" si="672"/>
        <v>Y</v>
      </c>
      <c r="O2361" s="1" t="str">
        <f t="shared" si="668"/>
        <v>Y</v>
      </c>
      <c r="P2361" s="1" t="str">
        <f t="shared" si="667"/>
        <v>Y</v>
      </c>
      <c r="Q2361" s="1" t="str">
        <f t="shared" si="669"/>
        <v>A</v>
      </c>
    </row>
    <row r="2362" spans="1:17" x14ac:dyDescent="0.3">
      <c r="A2362" s="1" t="str">
        <f t="shared" si="670"/>
        <v>ZC</v>
      </c>
      <c r="B2362" s="1" t="str">
        <f>"US01048"</f>
        <v>US01048</v>
      </c>
      <c r="C2362" s="1" t="s">
        <v>440</v>
      </c>
      <c r="D2362" s="1" t="s">
        <v>441</v>
      </c>
      <c r="E2362" s="1" t="str">
        <f>""</f>
        <v/>
      </c>
      <c r="F2362" s="1" t="str">
        <f>""</f>
        <v/>
      </c>
      <c r="G2362" s="1" t="str">
        <f>""</f>
        <v/>
      </c>
      <c r="H2362" s="1" t="str">
        <f>""</f>
        <v/>
      </c>
      <c r="I2362" s="1" t="str">
        <f>""</f>
        <v/>
      </c>
      <c r="J2362" s="1" t="str">
        <f>""</f>
        <v/>
      </c>
      <c r="K2362" s="1" t="str">
        <f>""</f>
        <v/>
      </c>
      <c r="L2362" s="1" t="str">
        <f t="shared" si="671"/>
        <v>R</v>
      </c>
      <c r="M2362" s="1" t="str">
        <f>""</f>
        <v/>
      </c>
      <c r="N2362" s="1" t="str">
        <f t="shared" si="672"/>
        <v>Y</v>
      </c>
      <c r="O2362" s="1" t="str">
        <f t="shared" si="668"/>
        <v>Y</v>
      </c>
      <c r="P2362" s="1" t="str">
        <f t="shared" si="667"/>
        <v>Y</v>
      </c>
      <c r="Q2362" s="1" t="str">
        <f t="shared" si="669"/>
        <v>A</v>
      </c>
    </row>
    <row r="2363" spans="1:17" x14ac:dyDescent="0.3">
      <c r="A2363" s="1" t="str">
        <f t="shared" si="670"/>
        <v>ZC</v>
      </c>
      <c r="B2363" s="1" t="str">
        <f>"US01049"</f>
        <v>US01049</v>
      </c>
      <c r="C2363" s="1" t="str">
        <f>"총담관 낭종"</f>
        <v>총담관 낭종</v>
      </c>
      <c r="D2363" s="1" t="str">
        <f>"복부 초음파검사 결과 총 담관에 낭종이 관찰되었습니다. 정확한 진단 및 치료계획을 위하여 내과 전문의 상담을 하시기 바랍니다."</f>
        <v>복부 초음파검사 결과 총 담관에 낭종이 관찰되었습니다. 정확한 진단 및 치료계획을 위하여 내과 전문의 상담을 하시기 바랍니다.</v>
      </c>
      <c r="E2363" s="1" t="str">
        <f>""</f>
        <v/>
      </c>
      <c r="F2363" s="1" t="str">
        <f>""</f>
        <v/>
      </c>
      <c r="G2363" s="1" t="str">
        <f>""</f>
        <v/>
      </c>
      <c r="H2363" s="1" t="str">
        <f>""</f>
        <v/>
      </c>
      <c r="I2363" s="1" t="str">
        <f>""</f>
        <v/>
      </c>
      <c r="J2363" s="1" t="str">
        <f>""</f>
        <v/>
      </c>
      <c r="K2363" s="1" t="str">
        <f>""</f>
        <v/>
      </c>
      <c r="L2363" s="1" t="str">
        <f t="shared" si="671"/>
        <v>R</v>
      </c>
      <c r="M2363" s="1" t="str">
        <f>""</f>
        <v/>
      </c>
      <c r="N2363" s="1" t="str">
        <f t="shared" si="672"/>
        <v>Y</v>
      </c>
      <c r="O2363" s="1" t="str">
        <f t="shared" si="668"/>
        <v>Y</v>
      </c>
      <c r="P2363" s="1" t="str">
        <f t="shared" si="667"/>
        <v>Y</v>
      </c>
      <c r="Q2363" s="1" t="str">
        <f t="shared" si="669"/>
        <v>A</v>
      </c>
    </row>
    <row r="2364" spans="1:17" x14ac:dyDescent="0.3">
      <c r="A2364" s="1" t="str">
        <f t="shared" si="670"/>
        <v>ZC</v>
      </c>
      <c r="B2364" s="1" t="str">
        <f>"US01050"</f>
        <v>US01050</v>
      </c>
      <c r="C2364" s="1" t="str">
        <f>"췌장 관찰 불가(장가스)"</f>
        <v>췌장 관찰 불가(장가스)</v>
      </c>
      <c r="D2364" s="1" t="str">
        <f>"복부 초음파검사 결과 장가스로 인하여 췌장의 일부가 잘 보이지 않습니다. 금식이 제대로 되지않아 나타나는 현상일 수도 있으나 추후 내원하셔서 경과관찰하시기 바랍니다."</f>
        <v>복부 초음파검사 결과 장가스로 인하여 췌장의 일부가 잘 보이지 않습니다. 금식이 제대로 되지않아 나타나는 현상일 수도 있으나 추후 내원하셔서 경과관찰하시기 바랍니다.</v>
      </c>
      <c r="E2364" s="1" t="str">
        <f>""</f>
        <v/>
      </c>
      <c r="F2364" s="1" t="str">
        <f>""</f>
        <v/>
      </c>
      <c r="G2364" s="1" t="str">
        <f>""</f>
        <v/>
      </c>
      <c r="H2364" s="1" t="str">
        <f>""</f>
        <v/>
      </c>
      <c r="I2364" s="1" t="str">
        <f>""</f>
        <v/>
      </c>
      <c r="J2364" s="1" t="str">
        <f>""</f>
        <v/>
      </c>
      <c r="K2364" s="1" t="str">
        <f>""</f>
        <v/>
      </c>
      <c r="L2364" s="1" t="str">
        <f t="shared" si="671"/>
        <v>R</v>
      </c>
      <c r="M2364" s="1" t="str">
        <f>""</f>
        <v/>
      </c>
      <c r="N2364" s="1" t="str">
        <f t="shared" si="672"/>
        <v>Y</v>
      </c>
      <c r="O2364" s="1" t="str">
        <f t="shared" si="668"/>
        <v>Y</v>
      </c>
      <c r="P2364" s="1" t="str">
        <f t="shared" si="667"/>
        <v>Y</v>
      </c>
      <c r="Q2364" s="1" t="str">
        <f t="shared" si="669"/>
        <v>A</v>
      </c>
    </row>
    <row r="2365" spans="1:17" x14ac:dyDescent="0.3">
      <c r="A2365" s="1" t="str">
        <f t="shared" si="670"/>
        <v>ZC</v>
      </c>
      <c r="B2365" s="1" t="str">
        <f>"US01051"</f>
        <v>US01051</v>
      </c>
      <c r="C2365" s="1" t="str">
        <f>"수신증"</f>
        <v>수신증</v>
      </c>
      <c r="D2365" s="1" t="str">
        <f>"복부 초음파검사 결과 신장의 수신증이 의심됩니다. 수신증은 신장 및 요로의 이상으로 인하여 신장에 물이 고이는 것을 말합니다. 이번 초음파검사 결과만으로는 단정하기 어려우므로 정기적인 검사를 통해 변화를 관찰하시기 바랍니다."</f>
        <v>복부 초음파검사 결과 신장의 수신증이 의심됩니다. 수신증은 신장 및 요로의 이상으로 인하여 신장에 물이 고이는 것을 말합니다. 이번 초음파검사 결과만으로는 단정하기 어려우므로 정기적인 검사를 통해 변화를 관찰하시기 바랍니다.</v>
      </c>
      <c r="E2365" s="1" t="str">
        <f>""</f>
        <v/>
      </c>
      <c r="F2365" s="1" t="str">
        <f>""</f>
        <v/>
      </c>
      <c r="G2365" s="1" t="str">
        <f>""</f>
        <v/>
      </c>
      <c r="H2365" s="1" t="str">
        <f>""</f>
        <v/>
      </c>
      <c r="I2365" s="1" t="str">
        <f>""</f>
        <v/>
      </c>
      <c r="J2365" s="1" t="str">
        <f>""</f>
        <v/>
      </c>
      <c r="K2365" s="1" t="str">
        <f>""</f>
        <v/>
      </c>
      <c r="L2365" s="1" t="str">
        <f t="shared" si="671"/>
        <v>R</v>
      </c>
      <c r="M2365" s="1" t="str">
        <f>""</f>
        <v/>
      </c>
      <c r="N2365" s="1" t="str">
        <f t="shared" si="672"/>
        <v>Y</v>
      </c>
      <c r="O2365" s="1" t="str">
        <f t="shared" si="668"/>
        <v>Y</v>
      </c>
      <c r="P2365" s="1" t="str">
        <f t="shared" si="667"/>
        <v>Y</v>
      </c>
      <c r="Q2365" s="1" t="str">
        <f t="shared" si="669"/>
        <v>A</v>
      </c>
    </row>
    <row r="2366" spans="1:17" x14ac:dyDescent="0.3">
      <c r="A2366" s="1" t="str">
        <f t="shared" si="670"/>
        <v>ZC</v>
      </c>
      <c r="B2366" s="1" t="str">
        <f>"US01052"</f>
        <v>US01052</v>
      </c>
      <c r="C2366" s="1" t="str">
        <f>"담낭 위축"</f>
        <v>담낭 위축</v>
      </c>
      <c r="D2366" s="1" t="str">
        <f>"복부 초음파 검사에서 담낭위축 등 담도계 이상 소견이 발견됩니다. 경미한 소견일 수도 있으나 금식상태를 정확히 지킨 후에 추적관찰 하시기 바랍니다."</f>
        <v>복부 초음파 검사에서 담낭위축 등 담도계 이상 소견이 발견됩니다. 경미한 소견일 수도 있으나 금식상태를 정확히 지킨 후에 추적관찰 하시기 바랍니다.</v>
      </c>
      <c r="E2366" s="1" t="str">
        <f>""</f>
        <v/>
      </c>
      <c r="F2366" s="1" t="str">
        <f>""</f>
        <v/>
      </c>
      <c r="G2366" s="1" t="str">
        <f>""</f>
        <v/>
      </c>
      <c r="H2366" s="1" t="str">
        <f>""</f>
        <v/>
      </c>
      <c r="I2366" s="1" t="str">
        <f>""</f>
        <v/>
      </c>
      <c r="J2366" s="1" t="str">
        <f>""</f>
        <v/>
      </c>
      <c r="K2366" s="1" t="str">
        <f>""</f>
        <v/>
      </c>
      <c r="L2366" s="1" t="str">
        <f t="shared" si="671"/>
        <v>R</v>
      </c>
      <c r="M2366" s="1" t="str">
        <f>""</f>
        <v/>
      </c>
      <c r="N2366" s="1" t="str">
        <f t="shared" si="672"/>
        <v>Y</v>
      </c>
      <c r="O2366" s="1" t="str">
        <f t="shared" si="668"/>
        <v>Y</v>
      </c>
      <c r="P2366" s="1" t="str">
        <f t="shared" si="667"/>
        <v>Y</v>
      </c>
      <c r="Q2366" s="1" t="str">
        <f t="shared" si="669"/>
        <v>A</v>
      </c>
    </row>
    <row r="2367" spans="1:17" x14ac:dyDescent="0.3">
      <c r="A2367" s="1" t="str">
        <f t="shared" si="670"/>
        <v>ZC</v>
      </c>
      <c r="B2367" s="1" t="str">
        <f>"US01053"</f>
        <v>US01053</v>
      </c>
      <c r="C2367" s="1" t="s">
        <v>442</v>
      </c>
      <c r="D2367" s="1" t="str">
        <f>"복부 초음파검사 결과 간 및 신장에 낭종소견이 관찰됩니다. 낭종은 그 자체만으로는 특별한 조치가 필요하진 않지만 매년 초음파를 통하여 크기의 변화를 관찰하시기 바랍니다."</f>
        <v>복부 초음파검사 결과 간 및 신장에 낭종소견이 관찰됩니다. 낭종은 그 자체만으로는 특별한 조치가 필요하진 않지만 매년 초음파를 통하여 크기의 변화를 관찰하시기 바랍니다.</v>
      </c>
      <c r="E2367" s="1" t="str">
        <f>""</f>
        <v/>
      </c>
      <c r="F2367" s="1" t="str">
        <f>""</f>
        <v/>
      </c>
      <c r="G2367" s="1" t="str">
        <f>""</f>
        <v/>
      </c>
      <c r="H2367" s="1" t="str">
        <f>""</f>
        <v/>
      </c>
      <c r="I2367" s="1" t="str">
        <f>""</f>
        <v/>
      </c>
      <c r="J2367" s="1" t="str">
        <f>""</f>
        <v/>
      </c>
      <c r="K2367" s="1" t="str">
        <f>""</f>
        <v/>
      </c>
      <c r="L2367" s="1" t="str">
        <f t="shared" si="671"/>
        <v>R</v>
      </c>
      <c r="M2367" s="1" t="str">
        <f>""</f>
        <v/>
      </c>
      <c r="N2367" s="1" t="str">
        <f t="shared" si="672"/>
        <v>Y</v>
      </c>
      <c r="O2367" s="1" t="str">
        <f t="shared" si="668"/>
        <v>Y</v>
      </c>
      <c r="P2367" s="1" t="str">
        <f t="shared" si="667"/>
        <v>Y</v>
      </c>
      <c r="Q2367" s="1" t="str">
        <f t="shared" si="669"/>
        <v>A</v>
      </c>
    </row>
    <row r="2368" spans="1:17" x14ac:dyDescent="0.3">
      <c r="A2368" s="1" t="str">
        <f t="shared" si="670"/>
        <v>ZC</v>
      </c>
      <c r="B2368" s="1" t="str">
        <f>"USTH002"</f>
        <v>USTH002</v>
      </c>
      <c r="C2368" s="1" t="str">
        <f>"갑상선염"</f>
        <v>갑상선염</v>
      </c>
      <c r="D2368" s="1" t="str">
        <f>"갑상선 초음파 검사에서 갑상선염이 의심됩니다. 갑상선 클리닉 진료를 받으시기 바랍니다."</f>
        <v>갑상선 초음파 검사에서 갑상선염이 의심됩니다. 갑상선 클리닉 진료를 받으시기 바랍니다.</v>
      </c>
      <c r="E2368" s="1" t="str">
        <f>""</f>
        <v/>
      </c>
      <c r="F2368" s="1" t="str">
        <f>""</f>
        <v/>
      </c>
      <c r="G2368" s="1" t="str">
        <f>""</f>
        <v/>
      </c>
      <c r="H2368" s="1" t="str">
        <f>""</f>
        <v/>
      </c>
      <c r="I2368" s="1" t="str">
        <f>""</f>
        <v/>
      </c>
      <c r="J2368" s="1" t="str">
        <f>""</f>
        <v/>
      </c>
      <c r="K2368" s="1" t="str">
        <f>""</f>
        <v/>
      </c>
      <c r="L2368" s="1" t="str">
        <f t="shared" si="671"/>
        <v>R</v>
      </c>
      <c r="M2368" s="1" t="str">
        <f>""</f>
        <v/>
      </c>
      <c r="N2368" s="1" t="str">
        <f t="shared" si="672"/>
        <v>Y</v>
      </c>
      <c r="O2368" s="1" t="str">
        <f t="shared" si="668"/>
        <v>Y</v>
      </c>
      <c r="P2368" s="1" t="str">
        <f t="shared" si="667"/>
        <v>Y</v>
      </c>
      <c r="Q2368" s="1" t="str">
        <f>""</f>
        <v/>
      </c>
    </row>
    <row r="2369" spans="1:17" x14ac:dyDescent="0.3">
      <c r="A2369" s="1" t="str">
        <f t="shared" si="670"/>
        <v>ZC</v>
      </c>
      <c r="B2369" s="1" t="str">
        <f>"USTH003"</f>
        <v>USTH003</v>
      </c>
      <c r="C2369" s="1" t="str">
        <f>"갑상선종"</f>
        <v>갑상선종</v>
      </c>
      <c r="D2369" s="1" t="s">
        <v>737</v>
      </c>
      <c r="E2369" s="1" t="str">
        <f>""</f>
        <v/>
      </c>
      <c r="F2369" s="1" t="str">
        <f>""</f>
        <v/>
      </c>
      <c r="G2369" s="1" t="str">
        <f>""</f>
        <v/>
      </c>
      <c r="H2369" s="1" t="str">
        <f>""</f>
        <v/>
      </c>
      <c r="I2369" s="1" t="str">
        <f>""</f>
        <v/>
      </c>
      <c r="J2369" s="1" t="str">
        <f>""</f>
        <v/>
      </c>
      <c r="K2369" s="1" t="str">
        <f>""</f>
        <v/>
      </c>
      <c r="L2369" s="1" t="str">
        <f t="shared" si="671"/>
        <v>R</v>
      </c>
      <c r="M2369" s="1" t="str">
        <f>""</f>
        <v/>
      </c>
      <c r="N2369" s="1" t="str">
        <f t="shared" si="672"/>
        <v>Y</v>
      </c>
      <c r="O2369" s="1" t="str">
        <f t="shared" si="668"/>
        <v>Y</v>
      </c>
      <c r="P2369" s="1" t="str">
        <f t="shared" si="667"/>
        <v>Y</v>
      </c>
      <c r="Q2369" s="1" t="str">
        <f>"A"</f>
        <v>A</v>
      </c>
    </row>
    <row r="2370" spans="1:17" x14ac:dyDescent="0.3">
      <c r="A2370" s="1" t="str">
        <f t="shared" si="670"/>
        <v>ZC</v>
      </c>
      <c r="B2370" s="1" t="str">
        <f>"USTH004"</f>
        <v>USTH004</v>
      </c>
      <c r="C2370" s="1" t="str">
        <f>"갑상선 낭종"</f>
        <v>갑상선 낭종</v>
      </c>
      <c r="D2370" s="1" t="str">
        <f>"갑상선 초음파 검사에서 낭종이 관찰됩니다. 매년 갑상선 초음파를 시행하여 크기와 모양 변화를 확인하시기 바랍니다."</f>
        <v>갑상선 초음파 검사에서 낭종이 관찰됩니다. 매년 갑상선 초음파를 시행하여 크기와 모양 변화를 확인하시기 바랍니다.</v>
      </c>
      <c r="E2370" s="1" t="str">
        <f>""</f>
        <v/>
      </c>
      <c r="F2370" s="1" t="str">
        <f>""</f>
        <v/>
      </c>
      <c r="G2370" s="1" t="str">
        <f>""</f>
        <v/>
      </c>
      <c r="H2370" s="1" t="str">
        <f>""</f>
        <v/>
      </c>
      <c r="I2370" s="1" t="str">
        <f>""</f>
        <v/>
      </c>
      <c r="J2370" s="1" t="str">
        <f>""</f>
        <v/>
      </c>
      <c r="K2370" s="1" t="str">
        <f>""</f>
        <v/>
      </c>
      <c r="L2370" s="1" t="str">
        <f t="shared" si="671"/>
        <v>R</v>
      </c>
      <c r="M2370" s="1" t="str">
        <f>""</f>
        <v/>
      </c>
      <c r="N2370" s="1" t="str">
        <f t="shared" si="672"/>
        <v>Y</v>
      </c>
      <c r="O2370" s="1" t="str">
        <f t="shared" si="668"/>
        <v>Y</v>
      </c>
      <c r="P2370" s="1" t="str">
        <f t="shared" si="667"/>
        <v>Y</v>
      </c>
      <c r="Q2370" s="1" t="str">
        <f>""</f>
        <v/>
      </c>
    </row>
    <row r="2371" spans="1:17" x14ac:dyDescent="0.3">
      <c r="A2371" s="1" t="str">
        <f t="shared" si="670"/>
        <v>ZC</v>
      </c>
      <c r="B2371" s="1" t="str">
        <f>"USTH005"</f>
        <v>USTH005</v>
      </c>
      <c r="C2371" s="1" t="str">
        <f>"임파선 종대(그 외 정상)"</f>
        <v>임파선 종대(그 외 정상)</v>
      </c>
      <c r="D2371" s="1" t="str">
        <f>"갑상선 초음파 검사에서 임파선 종대가 관찰됩니다. 이비인후과 진료를 받으시기 바랍니다."</f>
        <v>갑상선 초음파 검사에서 임파선 종대가 관찰됩니다. 이비인후과 진료를 받으시기 바랍니다.</v>
      </c>
      <c r="E2371" s="1" t="str">
        <f>""</f>
        <v/>
      </c>
      <c r="F2371" s="1" t="str">
        <f>""</f>
        <v/>
      </c>
      <c r="G2371" s="1" t="str">
        <f>""</f>
        <v/>
      </c>
      <c r="H2371" s="1" t="str">
        <f>""</f>
        <v/>
      </c>
      <c r="I2371" s="1" t="str">
        <f>""</f>
        <v/>
      </c>
      <c r="J2371" s="1" t="str">
        <f>""</f>
        <v/>
      </c>
      <c r="K2371" s="1" t="str">
        <f>""</f>
        <v/>
      </c>
      <c r="L2371" s="1" t="str">
        <f t="shared" si="671"/>
        <v>R</v>
      </c>
      <c r="M2371" s="1" t="str">
        <f>""</f>
        <v/>
      </c>
      <c r="N2371" s="1" t="str">
        <f t="shared" si="672"/>
        <v>Y</v>
      </c>
      <c r="O2371" s="1" t="str">
        <f t="shared" si="668"/>
        <v>Y</v>
      </c>
      <c r="P2371" s="1" t="str">
        <f t="shared" si="667"/>
        <v>Y</v>
      </c>
      <c r="Q2371" s="1" t="str">
        <f>""</f>
        <v/>
      </c>
    </row>
    <row r="2372" spans="1:17" x14ac:dyDescent="0.3">
      <c r="A2372" s="1" t="str">
        <f t="shared" si="670"/>
        <v>ZC</v>
      </c>
      <c r="B2372" s="1" t="str">
        <f>"USTH006"</f>
        <v>USTH006</v>
      </c>
      <c r="C2372" s="1" t="str">
        <f>"갑상선 석회화"</f>
        <v>갑상선 석회화</v>
      </c>
      <c r="D2372" s="1" t="str">
        <f>"갑상선 초음파 검사에서 석회화가 관찰됩니다. 1년 뒤 갑상선 초음파를 시행하여 크기와 모양 변화를 확인하시기 바랍니다."</f>
        <v>갑상선 초음파 검사에서 석회화가 관찰됩니다. 1년 뒤 갑상선 초음파를 시행하여 크기와 모양 변화를 확인하시기 바랍니다.</v>
      </c>
      <c r="E2372" s="1" t="str">
        <f>""</f>
        <v/>
      </c>
      <c r="F2372" s="1" t="str">
        <f>""</f>
        <v/>
      </c>
      <c r="G2372" s="1" t="str">
        <f>""</f>
        <v/>
      </c>
      <c r="H2372" s="1" t="str">
        <f>""</f>
        <v/>
      </c>
      <c r="I2372" s="1" t="str">
        <f>""</f>
        <v/>
      </c>
      <c r="J2372" s="1" t="str">
        <f>""</f>
        <v/>
      </c>
      <c r="K2372" s="1" t="str">
        <f>""</f>
        <v/>
      </c>
      <c r="L2372" s="1" t="str">
        <f t="shared" si="671"/>
        <v>R</v>
      </c>
      <c r="M2372" s="1" t="str">
        <f>""</f>
        <v/>
      </c>
      <c r="N2372" s="1" t="str">
        <f t="shared" si="672"/>
        <v>Y</v>
      </c>
      <c r="O2372" s="1" t="str">
        <f t="shared" si="668"/>
        <v>Y</v>
      </c>
      <c r="P2372" s="1" t="str">
        <f t="shared" si="667"/>
        <v>Y</v>
      </c>
      <c r="Q2372" s="1" t="str">
        <f>""</f>
        <v/>
      </c>
    </row>
    <row r="2373" spans="1:17" x14ac:dyDescent="0.3">
      <c r="A2373" s="1" t="str">
        <f t="shared" si="670"/>
        <v>ZC</v>
      </c>
      <c r="B2373" s="1" t="str">
        <f>"USTH008"</f>
        <v>USTH008</v>
      </c>
      <c r="C2373" s="1" t="str">
        <f>"미만성 갑상선질환"</f>
        <v>미만성 갑상선질환</v>
      </c>
      <c r="D2373" s="1" t="str">
        <f>"갑상선 초음파 검사에서 미만성 갑상선 질환이 의심됩니다. 추가 검사가 필요할 수 있으니 담당 의사와 상의하시기 바랍니다."</f>
        <v>갑상선 초음파 검사에서 미만성 갑상선 질환이 의심됩니다. 추가 검사가 필요할 수 있으니 담당 의사와 상의하시기 바랍니다.</v>
      </c>
      <c r="E2373" s="1" t="str">
        <f>""</f>
        <v/>
      </c>
      <c r="F2373" s="1" t="str">
        <f>""</f>
        <v/>
      </c>
      <c r="G2373" s="1" t="str">
        <f>""</f>
        <v/>
      </c>
      <c r="H2373" s="1" t="str">
        <f>""</f>
        <v/>
      </c>
      <c r="I2373" s="1" t="str">
        <f>""</f>
        <v/>
      </c>
      <c r="J2373" s="1" t="str">
        <f>""</f>
        <v/>
      </c>
      <c r="K2373" s="1" t="str">
        <f>""</f>
        <v/>
      </c>
      <c r="L2373" s="1" t="str">
        <f t="shared" si="671"/>
        <v>R</v>
      </c>
      <c r="M2373" s="1" t="str">
        <f>""</f>
        <v/>
      </c>
      <c r="N2373" s="1" t="str">
        <f t="shared" si="672"/>
        <v>Y</v>
      </c>
      <c r="O2373" s="1" t="str">
        <f t="shared" si="668"/>
        <v>Y</v>
      </c>
      <c r="P2373" s="1" t="str">
        <f t="shared" si="667"/>
        <v>Y</v>
      </c>
      <c r="Q2373" s="1" t="str">
        <f>""</f>
        <v/>
      </c>
    </row>
    <row r="2374" spans="1:17" x14ac:dyDescent="0.3">
      <c r="A2374" s="1" t="str">
        <f t="shared" si="670"/>
        <v>ZC</v>
      </c>
      <c r="B2374" s="1" t="str">
        <f>"USTH009"</f>
        <v>USTH009</v>
      </c>
      <c r="C2374" s="1" t="str">
        <f>"갑상선 가성 병변"</f>
        <v>갑상선 가성 병변</v>
      </c>
      <c r="D2374" s="1" t="str">
        <f>"갑상선 초음파 검사에서 가성 병변이 의심(실제 병변이 아닐 수 있는 가능성 있음)됩니다. 1년 후 추적검사 받으시기 바랍니다."</f>
        <v>갑상선 초음파 검사에서 가성 병변이 의심(실제 병변이 아닐 수 있는 가능성 있음)됩니다. 1년 후 추적검사 받으시기 바랍니다.</v>
      </c>
      <c r="E2374" s="1" t="str">
        <f>""</f>
        <v/>
      </c>
      <c r="F2374" s="1" t="str">
        <f>""</f>
        <v/>
      </c>
      <c r="G2374" s="1" t="str">
        <f>""</f>
        <v/>
      </c>
      <c r="H2374" s="1" t="str">
        <f>""</f>
        <v/>
      </c>
      <c r="I2374" s="1" t="str">
        <f>""</f>
        <v/>
      </c>
      <c r="J2374" s="1" t="str">
        <f>""</f>
        <v/>
      </c>
      <c r="K2374" s="1" t="str">
        <f>""</f>
        <v/>
      </c>
      <c r="L2374" s="1" t="str">
        <f t="shared" si="671"/>
        <v>R</v>
      </c>
      <c r="M2374" s="1" t="str">
        <f>""</f>
        <v/>
      </c>
      <c r="N2374" s="1" t="str">
        <f t="shared" si="672"/>
        <v>Y</v>
      </c>
      <c r="O2374" s="1" t="str">
        <f t="shared" si="668"/>
        <v>Y</v>
      </c>
      <c r="P2374" s="1" t="str">
        <f t="shared" si="667"/>
        <v>Y</v>
      </c>
      <c r="Q2374" s="1" t="str">
        <f>"A"</f>
        <v>A</v>
      </c>
    </row>
    <row r="2375" spans="1:17" x14ac:dyDescent="0.3">
      <c r="A2375" s="1" t="str">
        <f t="shared" si="670"/>
        <v>ZC</v>
      </c>
      <c r="B2375" s="1" t="str">
        <f>"USTH010"</f>
        <v>USTH010</v>
      </c>
      <c r="C2375" s="1" t="str">
        <f>"갑상선 결절(단기추적)"</f>
        <v>갑상선 결절(단기추적)</v>
      </c>
      <c r="D2375" s="1" t="str">
        <f>"갑상선 초음파 검사에서 결절이 관찰됩니다. 6개월 후 추적 초음파 검사를 받으시기 바랍니다."</f>
        <v>갑상선 초음파 검사에서 결절이 관찰됩니다. 6개월 후 추적 초음파 검사를 받으시기 바랍니다.</v>
      </c>
      <c r="E2375" s="1" t="str">
        <f>""</f>
        <v/>
      </c>
      <c r="F2375" s="1" t="str">
        <f>""</f>
        <v/>
      </c>
      <c r="G2375" s="1" t="str">
        <f>""</f>
        <v/>
      </c>
      <c r="H2375" s="1" t="str">
        <f>""</f>
        <v/>
      </c>
      <c r="I2375" s="1" t="str">
        <f>""</f>
        <v/>
      </c>
      <c r="J2375" s="1" t="str">
        <f>""</f>
        <v/>
      </c>
      <c r="K2375" s="1" t="str">
        <f>""</f>
        <v/>
      </c>
      <c r="L2375" s="1" t="str">
        <f t="shared" si="671"/>
        <v>R</v>
      </c>
      <c r="M2375" s="1" t="str">
        <f>""</f>
        <v/>
      </c>
      <c r="N2375" s="1" t="str">
        <f t="shared" si="672"/>
        <v>Y</v>
      </c>
      <c r="O2375" s="1" t="str">
        <f t="shared" si="668"/>
        <v>Y</v>
      </c>
      <c r="P2375" s="1" t="str">
        <f t="shared" si="667"/>
        <v>Y</v>
      </c>
      <c r="Q2375" s="1" t="str">
        <f>""</f>
        <v/>
      </c>
    </row>
    <row r="2376" spans="1:17" x14ac:dyDescent="0.3">
      <c r="A2376" s="1" t="str">
        <f t="shared" si="670"/>
        <v>ZC</v>
      </c>
      <c r="B2376" s="1" t="str">
        <f>"USTH011"</f>
        <v>USTH011</v>
      </c>
      <c r="C2376" s="1" t="str">
        <f>"갑상선 양성 결절"</f>
        <v>갑상선 양성 결절</v>
      </c>
      <c r="D2376" s="1" t="str">
        <f>"갑상선 초음파 검사에서 양성 결절이 관찰됩니다. 1년 후 갑상선 초음파로 추적하시기 바랍니다."</f>
        <v>갑상선 초음파 검사에서 양성 결절이 관찰됩니다. 1년 후 갑상선 초음파로 추적하시기 바랍니다.</v>
      </c>
      <c r="E2376" s="1" t="str">
        <f>""</f>
        <v/>
      </c>
      <c r="F2376" s="1" t="str">
        <f>""</f>
        <v/>
      </c>
      <c r="G2376" s="1" t="str">
        <f>""</f>
        <v/>
      </c>
      <c r="H2376" s="1" t="str">
        <f>""</f>
        <v/>
      </c>
      <c r="I2376" s="1" t="str">
        <f>""</f>
        <v/>
      </c>
      <c r="J2376" s="1" t="str">
        <f>""</f>
        <v/>
      </c>
      <c r="K2376" s="1" t="str">
        <f>""</f>
        <v/>
      </c>
      <c r="L2376" s="1" t="str">
        <f t="shared" si="671"/>
        <v>R</v>
      </c>
      <c r="M2376" s="1" t="str">
        <f>""</f>
        <v/>
      </c>
      <c r="N2376" s="1" t="str">
        <f t="shared" si="672"/>
        <v>Y</v>
      </c>
      <c r="O2376" s="1" t="str">
        <f t="shared" si="668"/>
        <v>Y</v>
      </c>
      <c r="P2376" s="1" t="str">
        <f t="shared" si="667"/>
        <v>Y</v>
      </c>
      <c r="Q2376" s="1" t="str">
        <f>""</f>
        <v/>
      </c>
    </row>
    <row r="2377" spans="1:17" x14ac:dyDescent="0.3">
      <c r="A2377" s="1" t="str">
        <f t="shared" si="670"/>
        <v>ZC</v>
      </c>
      <c r="B2377" s="1" t="str">
        <f>"USTH012"</f>
        <v>USTH012</v>
      </c>
      <c r="C2377" s="1" t="str">
        <f>"갑상선 절제 상태"</f>
        <v>갑상선 절제 상태</v>
      </c>
      <c r="D2377" s="1" t="str">
        <f>"갑상선 초음파 검사에서 갑상선 절제술을 받은 상태로 확인됩니다."</f>
        <v>갑상선 초음파 검사에서 갑상선 절제술을 받은 상태로 확인됩니다.</v>
      </c>
      <c r="E2377" s="1" t="str">
        <f>""</f>
        <v/>
      </c>
      <c r="F2377" s="1" t="str">
        <f>""</f>
        <v/>
      </c>
      <c r="G2377" s="1" t="str">
        <f>""</f>
        <v/>
      </c>
      <c r="H2377" s="1" t="str">
        <f>""</f>
        <v/>
      </c>
      <c r="I2377" s="1" t="str">
        <f>""</f>
        <v/>
      </c>
      <c r="J2377" s="1" t="str">
        <f>""</f>
        <v/>
      </c>
      <c r="K2377" s="1" t="str">
        <f>""</f>
        <v/>
      </c>
      <c r="L2377" s="1" t="str">
        <f t="shared" si="671"/>
        <v>R</v>
      </c>
      <c r="M2377" s="1" t="str">
        <f>""</f>
        <v/>
      </c>
      <c r="N2377" s="1" t="str">
        <f t="shared" si="672"/>
        <v>Y</v>
      </c>
      <c r="O2377" s="1" t="str">
        <f t="shared" si="668"/>
        <v>Y</v>
      </c>
      <c r="P2377" s="1" t="str">
        <f t="shared" si="667"/>
        <v>Y</v>
      </c>
      <c r="Q2377" s="1" t="str">
        <f>""</f>
        <v/>
      </c>
    </row>
    <row r="2378" spans="1:17" x14ac:dyDescent="0.3">
      <c r="A2378" s="1" t="str">
        <f t="shared" si="670"/>
        <v>ZC</v>
      </c>
      <c r="B2378" s="1" t="str">
        <f>"USTH013"</f>
        <v>USTH013</v>
      </c>
      <c r="C2378" s="1" t="str">
        <f>"반응성 임파절"</f>
        <v>반응성 임파절</v>
      </c>
      <c r="D2378" s="1" t="str">
        <f>"갑상선 초음파 검사에서 반응성 임파절이 관찰됩니다. 염증에 의한 것으로 목에 불편감이 있다면 진료를 받으시기 바랍니다."</f>
        <v>갑상선 초음파 검사에서 반응성 임파절이 관찰됩니다. 염증에 의한 것으로 목에 불편감이 있다면 진료를 받으시기 바랍니다.</v>
      </c>
      <c r="E2378" s="1" t="str">
        <f>""</f>
        <v/>
      </c>
      <c r="F2378" s="1" t="str">
        <f>""</f>
        <v/>
      </c>
      <c r="G2378" s="1" t="str">
        <f>""</f>
        <v/>
      </c>
      <c r="H2378" s="1" t="str">
        <f>""</f>
        <v/>
      </c>
      <c r="I2378" s="1" t="str">
        <f>""</f>
        <v/>
      </c>
      <c r="J2378" s="1" t="str">
        <f>""</f>
        <v/>
      </c>
      <c r="K2378" s="1" t="str">
        <f>""</f>
        <v/>
      </c>
      <c r="L2378" s="1" t="str">
        <f t="shared" si="671"/>
        <v>R</v>
      </c>
      <c r="M2378" s="1" t="str">
        <f>""</f>
        <v/>
      </c>
      <c r="N2378" s="1" t="str">
        <f t="shared" si="672"/>
        <v>Y</v>
      </c>
      <c r="O2378" s="1" t="str">
        <f t="shared" si="668"/>
        <v>Y</v>
      </c>
      <c r="P2378" s="1" t="str">
        <f t="shared" ref="P2378:P2424" si="673">"Y"</f>
        <v>Y</v>
      </c>
      <c r="Q2378" s="1" t="str">
        <f>""</f>
        <v/>
      </c>
    </row>
    <row r="2379" spans="1:17" x14ac:dyDescent="0.3">
      <c r="A2379" s="1" t="str">
        <f t="shared" si="670"/>
        <v>ZC</v>
      </c>
      <c r="B2379" s="1" t="str">
        <f>"USTH014"</f>
        <v>USTH014</v>
      </c>
      <c r="C2379" s="1" t="str">
        <f>"갑상선 종괴"</f>
        <v>갑상선 종괴</v>
      </c>
      <c r="D2379" s="1" t="str">
        <f>"갑상선 초음파 검사에서 종괴가 관찰됩니다. 1년 후 추적 초음파 검사를 받으시기 바랍니다."</f>
        <v>갑상선 초음파 검사에서 종괴가 관찰됩니다. 1년 후 추적 초음파 검사를 받으시기 바랍니다.</v>
      </c>
      <c r="E2379" s="1" t="str">
        <f>""</f>
        <v/>
      </c>
      <c r="F2379" s="1" t="str">
        <f>""</f>
        <v/>
      </c>
      <c r="G2379" s="1" t="str">
        <f>""</f>
        <v/>
      </c>
      <c r="H2379" s="1" t="str">
        <f>""</f>
        <v/>
      </c>
      <c r="I2379" s="1" t="str">
        <f>""</f>
        <v/>
      </c>
      <c r="J2379" s="1" t="str">
        <f>""</f>
        <v/>
      </c>
      <c r="K2379" s="1" t="str">
        <f>""</f>
        <v/>
      </c>
      <c r="L2379" s="1" t="str">
        <f t="shared" si="671"/>
        <v>R</v>
      </c>
      <c r="M2379" s="1" t="str">
        <f>""</f>
        <v/>
      </c>
      <c r="N2379" s="1" t="str">
        <f t="shared" si="672"/>
        <v>Y</v>
      </c>
      <c r="O2379" s="1" t="str">
        <f t="shared" si="668"/>
        <v>Y</v>
      </c>
      <c r="P2379" s="1" t="str">
        <f t="shared" si="673"/>
        <v>Y</v>
      </c>
      <c r="Q2379" s="1" t="str">
        <f>""</f>
        <v/>
      </c>
    </row>
    <row r="2380" spans="1:17" x14ac:dyDescent="0.3">
      <c r="A2380" s="1" t="str">
        <f t="shared" si="670"/>
        <v>ZC</v>
      </c>
      <c r="B2380" s="1" t="str">
        <f>"USTH015"</f>
        <v>USTH015</v>
      </c>
      <c r="C2380" s="1" t="str">
        <f>"갑상선 결절"</f>
        <v>갑상선 결절</v>
      </c>
      <c r="D2380" s="1" t="str">
        <f>"갑상선 초음파에서 갑상선 결절이 관찰됩니다. 내분비내과 진료를 받고 추가검사 및 치료의 필요성에 대하여 상의하기 바랍니다."</f>
        <v>갑상선 초음파에서 갑상선 결절이 관찰됩니다. 내분비내과 진료를 받고 추가검사 및 치료의 필요성에 대하여 상의하기 바랍니다.</v>
      </c>
      <c r="E2380" s="1" t="str">
        <f>""</f>
        <v/>
      </c>
      <c r="F2380" s="1" t="str">
        <f>""</f>
        <v/>
      </c>
      <c r="G2380" s="1" t="str">
        <f>""</f>
        <v/>
      </c>
      <c r="H2380" s="1" t="str">
        <f>""</f>
        <v/>
      </c>
      <c r="I2380" s="1" t="str">
        <f>""</f>
        <v/>
      </c>
      <c r="J2380" s="1" t="str">
        <f>""</f>
        <v/>
      </c>
      <c r="K2380" s="1" t="str">
        <f>""</f>
        <v/>
      </c>
      <c r="L2380" s="1" t="str">
        <f t="shared" si="671"/>
        <v>R</v>
      </c>
      <c r="M2380" s="1" t="str">
        <f>""</f>
        <v/>
      </c>
      <c r="N2380" s="1" t="str">
        <f t="shared" si="672"/>
        <v>Y</v>
      </c>
      <c r="O2380" s="1" t="str">
        <f t="shared" si="668"/>
        <v>Y</v>
      </c>
      <c r="P2380" s="1" t="str">
        <f t="shared" si="673"/>
        <v>Y</v>
      </c>
      <c r="Q2380" s="1" t="str">
        <f>""</f>
        <v/>
      </c>
    </row>
    <row r="2381" spans="1:17" x14ac:dyDescent="0.3">
      <c r="A2381" s="1" t="str">
        <f t="shared" si="670"/>
        <v>ZC</v>
      </c>
      <c r="B2381" s="1" t="str">
        <f>"USTH015-1"</f>
        <v>USTH015-1</v>
      </c>
      <c r="C2381" s="1" t="s">
        <v>738</v>
      </c>
      <c r="D2381" s="1" t="s">
        <v>739</v>
      </c>
      <c r="E2381" s="1" t="str">
        <f>""</f>
        <v/>
      </c>
      <c r="F2381" s="1" t="str">
        <f>""</f>
        <v/>
      </c>
      <c r="G2381" s="1" t="str">
        <f>""</f>
        <v/>
      </c>
      <c r="H2381" s="1" t="str">
        <f>""</f>
        <v/>
      </c>
      <c r="I2381" s="1" t="str">
        <f>""</f>
        <v/>
      </c>
      <c r="J2381" s="1" t="str">
        <f>""</f>
        <v/>
      </c>
      <c r="K2381" s="1" t="str">
        <f>""</f>
        <v/>
      </c>
      <c r="L2381" s="1" t="str">
        <f t="shared" si="671"/>
        <v>R</v>
      </c>
      <c r="M2381" s="1" t="str">
        <f>""</f>
        <v/>
      </c>
      <c r="N2381" s="1" t="str">
        <f t="shared" si="672"/>
        <v>Y</v>
      </c>
      <c r="O2381" s="1" t="str">
        <f t="shared" si="668"/>
        <v>Y</v>
      </c>
      <c r="P2381" s="1" t="str">
        <f t="shared" si="673"/>
        <v>Y</v>
      </c>
      <c r="Q2381" s="1" t="str">
        <f>"A"</f>
        <v>A</v>
      </c>
    </row>
    <row r="2382" spans="1:17" x14ac:dyDescent="0.3">
      <c r="A2382" s="1" t="str">
        <f t="shared" si="670"/>
        <v>ZC</v>
      </c>
      <c r="B2382" s="1" t="str">
        <f>"USTH016"</f>
        <v>USTH016</v>
      </c>
      <c r="C2382" s="1" t="str">
        <f>"갑상선 결절(조직검사 권유)"</f>
        <v>갑상선 결절(조직검사 권유)</v>
      </c>
      <c r="D2382" s="1" t="str">
        <f>"갑상선 초음파 검사에서 결절이 관찰됩니다. 조직검사가 필요하므로 갑상선 클리닉 또는 내분비내과 진료 보십시오."</f>
        <v>갑상선 초음파 검사에서 결절이 관찰됩니다. 조직검사가 필요하므로 갑상선 클리닉 또는 내분비내과 진료 보십시오.</v>
      </c>
      <c r="E2382" s="1" t="str">
        <f>""</f>
        <v/>
      </c>
      <c r="F2382" s="1" t="str">
        <f>""</f>
        <v/>
      </c>
      <c r="G2382" s="1" t="str">
        <f>""</f>
        <v/>
      </c>
      <c r="H2382" s="1" t="str">
        <f>""</f>
        <v/>
      </c>
      <c r="I2382" s="1" t="str">
        <f>""</f>
        <v/>
      </c>
      <c r="J2382" s="1" t="str">
        <f>""</f>
        <v/>
      </c>
      <c r="K2382" s="1" t="str">
        <f>""</f>
        <v/>
      </c>
      <c r="L2382" s="1" t="str">
        <f t="shared" si="671"/>
        <v>R</v>
      </c>
      <c r="M2382" s="1" t="str">
        <f>""</f>
        <v/>
      </c>
      <c r="N2382" s="1" t="str">
        <f t="shared" si="672"/>
        <v>Y</v>
      </c>
      <c r="O2382" s="1" t="str">
        <f t="shared" si="668"/>
        <v>Y</v>
      </c>
      <c r="P2382" s="1" t="str">
        <f t="shared" si="673"/>
        <v>Y</v>
      </c>
      <c r="Q2382" s="1" t="str">
        <f>""</f>
        <v/>
      </c>
    </row>
    <row r="2383" spans="1:17" x14ac:dyDescent="0.3">
      <c r="A2383" s="1" t="str">
        <f t="shared" si="670"/>
        <v>ZC</v>
      </c>
      <c r="B2383" s="1" t="str">
        <f>"USTH099"</f>
        <v>USTH099</v>
      </c>
      <c r="C2383" s="1" t="str">
        <f>"기타(직접기입)"</f>
        <v>기타(직접기입)</v>
      </c>
      <c r="D2383" s="1" t="str">
        <f>"갑상선 초음파에서"</f>
        <v>갑상선 초음파에서</v>
      </c>
      <c r="E2383" s="1" t="str">
        <f>""</f>
        <v/>
      </c>
      <c r="F2383" s="1" t="str">
        <f>""</f>
        <v/>
      </c>
      <c r="G2383" s="1" t="str">
        <f>""</f>
        <v/>
      </c>
      <c r="H2383" s="1" t="str">
        <f>""</f>
        <v/>
      </c>
      <c r="I2383" s="1" t="str">
        <f>""</f>
        <v/>
      </c>
      <c r="J2383" s="1" t="str">
        <f>""</f>
        <v/>
      </c>
      <c r="K2383" s="1" t="str">
        <f>""</f>
        <v/>
      </c>
      <c r="L2383" s="1" t="str">
        <f t="shared" si="671"/>
        <v>R</v>
      </c>
      <c r="M2383" s="1" t="str">
        <f>""</f>
        <v/>
      </c>
      <c r="N2383" s="1" t="str">
        <f t="shared" si="672"/>
        <v>Y</v>
      </c>
      <c r="O2383" s="1" t="str">
        <f t="shared" si="668"/>
        <v>Y</v>
      </c>
      <c r="P2383" s="1" t="str">
        <f t="shared" si="673"/>
        <v>Y</v>
      </c>
      <c r="Q2383" s="1" t="str">
        <f>""</f>
        <v/>
      </c>
    </row>
    <row r="2384" spans="1:17" x14ac:dyDescent="0.3">
      <c r="A2384" s="1" t="str">
        <f t="shared" ref="A2384:A2392" si="674">"ZD"</f>
        <v>ZD</v>
      </c>
      <c r="B2384" s="1" t="str">
        <f>"AUS006"</f>
        <v>AUS006</v>
      </c>
      <c r="C2384" s="1" t="str">
        <f>"간암의심"</f>
        <v>간암의심</v>
      </c>
      <c r="D2384" s="1" t="str">
        <f>"복부초음파 검사상 간에 이상 병변이 관찰됩니다. 간암의 가능성이 있어 추가 정밀검사가 필요하오니 빠른 시일 내에 의료기관을 방문하시어 진료를 받으시기 바랍니다."</f>
        <v>복부초음파 검사상 간에 이상 병변이 관찰됩니다. 간암의 가능성이 있어 추가 정밀검사가 필요하오니 빠른 시일 내에 의료기관을 방문하시어 진료를 받으시기 바랍니다.</v>
      </c>
      <c r="E2384" s="1" t="str">
        <f>""</f>
        <v/>
      </c>
      <c r="F2384" s="1" t="str">
        <f>""</f>
        <v/>
      </c>
      <c r="G2384" s="1" t="str">
        <f>"DISK"</f>
        <v>DISK</v>
      </c>
      <c r="H2384" s="1" t="str">
        <f>""</f>
        <v/>
      </c>
      <c r="I2384" s="1" t="str">
        <f>""</f>
        <v/>
      </c>
      <c r="J2384" s="1" t="str">
        <f>"C41C"</f>
        <v>C41C</v>
      </c>
      <c r="K2384" s="1" t="str">
        <f>"C41C"</f>
        <v>C41C</v>
      </c>
      <c r="L2384" s="1" t="str">
        <f t="shared" si="671"/>
        <v>R</v>
      </c>
      <c r="M2384" s="1" t="str">
        <f>""</f>
        <v/>
      </c>
      <c r="N2384" s="1" t="str">
        <f t="shared" si="672"/>
        <v>Y</v>
      </c>
      <c r="O2384" s="1" t="str">
        <f t="shared" ref="O2384:O2424" si="675">"Y"</f>
        <v>Y</v>
      </c>
      <c r="P2384" s="1" t="str">
        <f t="shared" si="673"/>
        <v>Y</v>
      </c>
      <c r="Q2384" s="1" t="str">
        <f t="shared" ref="Q2384:Q2424" si="676">"A"</f>
        <v>A</v>
      </c>
    </row>
    <row r="2385" spans="1:17" x14ac:dyDescent="0.3">
      <c r="A2385" s="1" t="str">
        <f t="shared" si="674"/>
        <v>ZD</v>
      </c>
      <c r="B2385" s="1" t="str">
        <f>"GHJD1"</f>
        <v>GHJD1</v>
      </c>
      <c r="C2385" s="1" t="str">
        <f>"비타민 D 결핍"</f>
        <v>비타민 D 결핍</v>
      </c>
      <c r="D2385" s="1" t="str">
        <f>"Vitamin D 검사 결과 비타민 D 결핍 소견입니다. 내과 진료를 통한 비타민 D 보충 치료를 권장합니다."</f>
        <v>Vitamin D 검사 결과 비타민 D 결핍 소견입니다. 내과 진료를 통한 비타민 D 보충 치료를 권장합니다.</v>
      </c>
      <c r="E2385" s="1" t="str">
        <f>""</f>
        <v/>
      </c>
      <c r="F2385" s="1" t="str">
        <f>""</f>
        <v/>
      </c>
      <c r="G2385" s="1" t="str">
        <f>""</f>
        <v/>
      </c>
      <c r="H2385" s="1" t="str">
        <f>""</f>
        <v/>
      </c>
      <c r="I2385" s="1" t="str">
        <f>""</f>
        <v/>
      </c>
      <c r="J2385" s="1" t="str">
        <f>""</f>
        <v/>
      </c>
      <c r="K2385" s="1" t="str">
        <f>""</f>
        <v/>
      </c>
      <c r="L2385" s="1" t="str">
        <f t="shared" si="671"/>
        <v>R</v>
      </c>
      <c r="M2385" s="1" t="str">
        <f>""</f>
        <v/>
      </c>
      <c r="N2385" s="1" t="str">
        <f t="shared" si="672"/>
        <v>Y</v>
      </c>
      <c r="O2385" s="1" t="str">
        <f t="shared" si="675"/>
        <v>Y</v>
      </c>
      <c r="P2385" s="1" t="str">
        <f t="shared" si="673"/>
        <v>Y</v>
      </c>
      <c r="Q2385" s="1" t="str">
        <f t="shared" si="676"/>
        <v>A</v>
      </c>
    </row>
    <row r="2386" spans="1:17" x14ac:dyDescent="0.3">
      <c r="A2386" s="1" t="str">
        <f t="shared" si="674"/>
        <v>ZD</v>
      </c>
      <c r="B2386" s="1" t="str">
        <f>"GNBRUSG12"</f>
        <v>GNBRUSG12</v>
      </c>
      <c r="C2386" s="1" t="str">
        <f>"(유방초음파) 결절 및 낭종"</f>
        <v>(유방초음파) 결절 및 낭종</v>
      </c>
      <c r="D2386" s="1" t="s">
        <v>740</v>
      </c>
      <c r="E2386" s="1" t="str">
        <f>"WOK03"</f>
        <v>WOK03</v>
      </c>
      <c r="F2386" s="1" t="str">
        <f>"PTM04"</f>
        <v>PTM04</v>
      </c>
      <c r="G2386" s="1" t="str">
        <f>""</f>
        <v/>
      </c>
      <c r="H2386" s="1" t="str">
        <f>"REL11"</f>
        <v>REL11</v>
      </c>
      <c r="I2386" s="1" t="str">
        <f>""</f>
        <v/>
      </c>
      <c r="J2386" s="1" t="str">
        <f>""</f>
        <v/>
      </c>
      <c r="K2386" s="1" t="str">
        <f>""</f>
        <v/>
      </c>
      <c r="L2386" s="1" t="str">
        <f t="shared" si="671"/>
        <v>R</v>
      </c>
      <c r="M2386" s="1" t="str">
        <f>"T21"</f>
        <v>T21</v>
      </c>
      <c r="N2386" s="1" t="str">
        <f t="shared" si="672"/>
        <v>Y</v>
      </c>
      <c r="O2386" s="1" t="str">
        <f t="shared" si="675"/>
        <v>Y</v>
      </c>
      <c r="P2386" s="1" t="str">
        <f t="shared" si="673"/>
        <v>Y</v>
      </c>
      <c r="Q2386" s="1" t="str">
        <f t="shared" si="676"/>
        <v>A</v>
      </c>
    </row>
    <row r="2387" spans="1:17" x14ac:dyDescent="0.3">
      <c r="A2387" s="1" t="str">
        <f t="shared" si="674"/>
        <v>ZD</v>
      </c>
      <c r="B2387" s="1" t="str">
        <f>"GNBRUSG14"</f>
        <v>GNBRUSG14</v>
      </c>
      <c r="C2387" s="1" t="str">
        <f>"(유방초음파) 유방암"</f>
        <v>(유방초음파) 유방암</v>
      </c>
      <c r="D2387" s="1" t="str">
        <f>"유방 초음파에서 유방암 소견이 있습니다. 유방클리닉 진료를 받으시기 바랍니다."</f>
        <v>유방 초음파에서 유방암 소견이 있습니다. 유방클리닉 진료를 받으시기 바랍니다.</v>
      </c>
      <c r="E2387" s="1" t="str">
        <f>"WOK03"</f>
        <v>WOK03</v>
      </c>
      <c r="F2387" s="1" t="str">
        <f>"PTM04"</f>
        <v>PTM04</v>
      </c>
      <c r="G2387" s="1" t="str">
        <f>""</f>
        <v/>
      </c>
      <c r="H2387" s="1" t="str">
        <f>"REL11"</f>
        <v>REL11</v>
      </c>
      <c r="I2387" s="1" t="str">
        <f>""</f>
        <v/>
      </c>
      <c r="J2387" s="1" t="str">
        <f>""</f>
        <v/>
      </c>
      <c r="K2387" s="1" t="str">
        <f>""</f>
        <v/>
      </c>
      <c r="L2387" s="1" t="str">
        <f t="shared" si="671"/>
        <v>R</v>
      </c>
      <c r="M2387" s="1" t="str">
        <f>"T21"</f>
        <v>T21</v>
      </c>
      <c r="N2387" s="1" t="str">
        <f t="shared" si="672"/>
        <v>Y</v>
      </c>
      <c r="O2387" s="1" t="str">
        <f t="shared" si="675"/>
        <v>Y</v>
      </c>
      <c r="P2387" s="1" t="str">
        <f t="shared" si="673"/>
        <v>Y</v>
      </c>
      <c r="Q2387" s="1" t="str">
        <f t="shared" si="676"/>
        <v>A</v>
      </c>
    </row>
    <row r="2388" spans="1:17" x14ac:dyDescent="0.3">
      <c r="A2388" s="1" t="str">
        <f t="shared" si="674"/>
        <v>ZD</v>
      </c>
      <c r="B2388" s="1" t="str">
        <f>"HEPAB2"</f>
        <v>HEPAB2</v>
      </c>
      <c r="C2388" s="1" t="str">
        <f>"B형 간염 항체 없음"</f>
        <v>B형 간염 항체 없음</v>
      </c>
      <c r="D2388" s="1" t="str">
        <f>"B형 간염 항체가 없습니다. 예방접종 바랍니다."</f>
        <v>B형 간염 항체가 없습니다. 예방접종 바랍니다.</v>
      </c>
      <c r="E2388" s="1" t="str">
        <f>"WOK01"</f>
        <v>WOK01</v>
      </c>
      <c r="F2388" s="1" t="str">
        <f>"PTM01"</f>
        <v>PTM01</v>
      </c>
      <c r="G2388" s="1" t="str">
        <f>"DISB"</f>
        <v>DISB</v>
      </c>
      <c r="H2388" s="1" t="str">
        <f>"REL05"</f>
        <v>REL05</v>
      </c>
      <c r="I2388" s="1" t="str">
        <f>""</f>
        <v/>
      </c>
      <c r="J2388" s="1" t="str">
        <f>"C05D"</f>
        <v>C05D</v>
      </c>
      <c r="K2388" s="1" t="str">
        <f>"C05D"</f>
        <v>C05D</v>
      </c>
      <c r="L2388" s="1" t="str">
        <f t="shared" si="671"/>
        <v>R</v>
      </c>
      <c r="M2388" s="1" t="str">
        <f>"T02"</f>
        <v>T02</v>
      </c>
      <c r="N2388" s="1" t="str">
        <f t="shared" si="672"/>
        <v>Y</v>
      </c>
      <c r="O2388" s="1" t="str">
        <f t="shared" si="675"/>
        <v>Y</v>
      </c>
      <c r="P2388" s="1" t="str">
        <f t="shared" si="673"/>
        <v>Y</v>
      </c>
      <c r="Q2388" s="1" t="str">
        <f t="shared" si="676"/>
        <v>A</v>
      </c>
    </row>
    <row r="2389" spans="1:17" x14ac:dyDescent="0.3">
      <c r="A2389" s="1" t="str">
        <f t="shared" si="674"/>
        <v>ZD</v>
      </c>
      <c r="B2389" s="1" t="str">
        <f>"J0251"</f>
        <v>J0251</v>
      </c>
      <c r="C2389" s="1" t="str">
        <f>"저 알부민혈증"</f>
        <v>저 알부민혈증</v>
      </c>
      <c r="D2389" s="1" t="str">
        <f>"혈액내 알부민 치가 심하게 감소되어 있습니다. 만성 간질환 또는 영양 상태 불균형시 감소될 수 있으니 내과진료 받으시기 바랍니다."</f>
        <v>혈액내 알부민 치가 심하게 감소되어 있습니다. 만성 간질환 또는 영양 상태 불균형시 감소될 수 있으니 내과진료 받으시기 바랍니다.</v>
      </c>
      <c r="E2389" s="1" t="str">
        <f>""</f>
        <v/>
      </c>
      <c r="F2389" s="1" t="str">
        <f>""</f>
        <v/>
      </c>
      <c r="G2389" s="1" t="str">
        <f>""</f>
        <v/>
      </c>
      <c r="H2389" s="1" t="str">
        <f>""</f>
        <v/>
      </c>
      <c r="I2389" s="1" t="str">
        <f>""</f>
        <v/>
      </c>
      <c r="J2389" s="1" t="str">
        <f>""</f>
        <v/>
      </c>
      <c r="K2389" s="1" t="str">
        <f>""</f>
        <v/>
      </c>
      <c r="L2389" s="1" t="str">
        <f t="shared" si="671"/>
        <v>R</v>
      </c>
      <c r="M2389" s="1" t="str">
        <f>""</f>
        <v/>
      </c>
      <c r="N2389" s="1" t="str">
        <f t="shared" si="672"/>
        <v>Y</v>
      </c>
      <c r="O2389" s="1" t="str">
        <f t="shared" si="675"/>
        <v>Y</v>
      </c>
      <c r="P2389" s="1" t="str">
        <f t="shared" si="673"/>
        <v>Y</v>
      </c>
      <c r="Q2389" s="1" t="str">
        <f t="shared" si="676"/>
        <v>A</v>
      </c>
    </row>
    <row r="2390" spans="1:17" x14ac:dyDescent="0.3">
      <c r="A2390" s="1" t="str">
        <f t="shared" si="674"/>
        <v>ZD</v>
      </c>
      <c r="B2390" s="1" t="str">
        <f>"J0323"</f>
        <v>J0323</v>
      </c>
      <c r="C2390" s="1" t="str">
        <f>"AIDS양성"</f>
        <v>AIDS양성</v>
      </c>
      <c r="D2390" s="1" t="str">
        <f>"감염내과를 방문하여 치료를 위한 진료 및 상담을 받으시기 바랍니다."</f>
        <v>감염내과를 방문하여 치료를 위한 진료 및 상담을 받으시기 바랍니다.</v>
      </c>
      <c r="E2390" s="1" t="str">
        <f>""</f>
        <v/>
      </c>
      <c r="F2390" s="1" t="str">
        <f>""</f>
        <v/>
      </c>
      <c r="G2390" s="1" t="str">
        <f>"DISA"</f>
        <v>DISA</v>
      </c>
      <c r="H2390" s="1" t="str">
        <f>""</f>
        <v/>
      </c>
      <c r="I2390" s="1" t="str">
        <f>""</f>
        <v/>
      </c>
      <c r="J2390" s="1" t="str">
        <f>"C31D"</f>
        <v>C31D</v>
      </c>
      <c r="K2390" s="1" t="str">
        <f>"C31D"</f>
        <v>C31D</v>
      </c>
      <c r="L2390" s="1" t="str">
        <f t="shared" si="671"/>
        <v>R</v>
      </c>
      <c r="M2390" s="1" t="str">
        <f>""</f>
        <v/>
      </c>
      <c r="N2390" s="1" t="str">
        <f t="shared" si="672"/>
        <v>Y</v>
      </c>
      <c r="O2390" s="1" t="str">
        <f t="shared" si="675"/>
        <v>Y</v>
      </c>
      <c r="P2390" s="1" t="str">
        <f t="shared" si="673"/>
        <v>Y</v>
      </c>
      <c r="Q2390" s="1" t="str">
        <f t="shared" si="676"/>
        <v>A</v>
      </c>
    </row>
    <row r="2391" spans="1:17" x14ac:dyDescent="0.3">
      <c r="A2391" s="1" t="str">
        <f t="shared" si="674"/>
        <v>ZD</v>
      </c>
      <c r="B2391" s="1" t="str">
        <f>"M0015"</f>
        <v>M0015</v>
      </c>
      <c r="C2391" s="1" t="str">
        <f>"B형 간염 항원 양성"</f>
        <v>B형 간염 항원 양성</v>
      </c>
      <c r="D2391" s="1" t="str">
        <f>"B형 간염 항원이 있습니다. B형 간염 보균자로 의심됩니다. 소화기내과 진료 바랍니다."</f>
        <v>B형 간염 항원이 있습니다. B형 간염 보균자로 의심됩니다. 소화기내과 진료 바랍니다.</v>
      </c>
      <c r="E2391" s="1" t="str">
        <f>"WOK02"</f>
        <v>WOK02</v>
      </c>
      <c r="F2391" s="1" t="str">
        <f>"PTM04"</f>
        <v>PTM04</v>
      </c>
      <c r="G2391" s="1" t="str">
        <f>"DISB"</f>
        <v>DISB</v>
      </c>
      <c r="H2391" s="1" t="str">
        <f>"REL05"</f>
        <v>REL05</v>
      </c>
      <c r="I2391" s="1" t="str">
        <f>""</f>
        <v/>
      </c>
      <c r="J2391" s="1" t="str">
        <f>"C05C"</f>
        <v>C05C</v>
      </c>
      <c r="K2391" s="1" t="str">
        <f>"C05C"</f>
        <v>C05C</v>
      </c>
      <c r="L2391" s="1" t="str">
        <f t="shared" si="671"/>
        <v>R</v>
      </c>
      <c r="M2391" s="1" t="str">
        <f>"T02"</f>
        <v>T02</v>
      </c>
      <c r="N2391" s="1" t="str">
        <f t="shared" si="672"/>
        <v>Y</v>
      </c>
      <c r="O2391" s="1" t="str">
        <f t="shared" si="675"/>
        <v>Y</v>
      </c>
      <c r="P2391" s="1" t="str">
        <f t="shared" si="673"/>
        <v>Y</v>
      </c>
      <c r="Q2391" s="1" t="str">
        <f t="shared" si="676"/>
        <v>A</v>
      </c>
    </row>
    <row r="2392" spans="1:17" x14ac:dyDescent="0.3">
      <c r="A2392" s="1" t="str">
        <f t="shared" si="674"/>
        <v>ZD</v>
      </c>
      <c r="B2392" s="1" t="str">
        <f>"USTH007"</f>
        <v>USTH007</v>
      </c>
      <c r="C2392" s="1" t="str">
        <f>"갑상선암 의심"</f>
        <v>갑상선암 의심</v>
      </c>
      <c r="D2392" s="1" t="str">
        <f>"갑상선 초음파 검사에서 갑상선암이 의심됩니다. 갑상선 클리닉 진료를 받으시기 바랍니다."</f>
        <v>갑상선 초음파 검사에서 갑상선암이 의심됩니다. 갑상선 클리닉 진료를 받으시기 바랍니다.</v>
      </c>
      <c r="E2392" s="1" t="str">
        <f>""</f>
        <v/>
      </c>
      <c r="F2392" s="1" t="str">
        <f>""</f>
        <v/>
      </c>
      <c r="G2392" s="1" t="str">
        <f>""</f>
        <v/>
      </c>
      <c r="H2392" s="1" t="str">
        <f>""</f>
        <v/>
      </c>
      <c r="I2392" s="1" t="str">
        <f>""</f>
        <v/>
      </c>
      <c r="J2392" s="1" t="str">
        <f>""</f>
        <v/>
      </c>
      <c r="K2392" s="1" t="str">
        <f>""</f>
        <v/>
      </c>
      <c r="L2392" s="1" t="str">
        <f t="shared" si="671"/>
        <v>R</v>
      </c>
      <c r="M2392" s="1" t="str">
        <f>""</f>
        <v/>
      </c>
      <c r="N2392" s="1" t="str">
        <f t="shared" si="672"/>
        <v>Y</v>
      </c>
      <c r="O2392" s="1" t="str">
        <f t="shared" si="675"/>
        <v>Y</v>
      </c>
      <c r="P2392" s="1" t="str">
        <f t="shared" si="673"/>
        <v>Y</v>
      </c>
      <c r="Q2392" s="1" t="str">
        <f t="shared" si="676"/>
        <v>A</v>
      </c>
    </row>
    <row r="2393" spans="1:17" x14ac:dyDescent="0.3">
      <c r="A2393" s="1" t="str">
        <f>"ZR"</f>
        <v>ZR</v>
      </c>
      <c r="B2393" s="1" t="str">
        <f>"J0501"</f>
        <v>J0501</v>
      </c>
      <c r="C2393" s="1" t="str">
        <f>"코카인(마약류) 양성"</f>
        <v>코카인(마약류) 양성</v>
      </c>
      <c r="D2393" s="1" t="str">
        <f>"코카인 마약성분 검사상 양성 소견입니다."</f>
        <v>코카인 마약성분 검사상 양성 소견입니다.</v>
      </c>
      <c r="E2393" s="1" t="str">
        <f>""</f>
        <v/>
      </c>
      <c r="F2393" s="1" t="str">
        <f>""</f>
        <v/>
      </c>
      <c r="G2393" s="1" t="str">
        <f>""</f>
        <v/>
      </c>
      <c r="H2393" s="1" t="str">
        <f>"REL00"</f>
        <v>REL00</v>
      </c>
      <c r="I2393" s="1" t="str">
        <f>""</f>
        <v/>
      </c>
      <c r="J2393" s="1" t="str">
        <f>""</f>
        <v/>
      </c>
      <c r="K2393" s="1" t="str">
        <f>""</f>
        <v/>
      </c>
      <c r="L2393" s="1" t="str">
        <f t="shared" si="671"/>
        <v>R</v>
      </c>
      <c r="M2393" s="1" t="str">
        <f>""</f>
        <v/>
      </c>
      <c r="N2393" s="1" t="str">
        <f t="shared" si="672"/>
        <v>Y</v>
      </c>
      <c r="O2393" s="1" t="str">
        <f t="shared" si="675"/>
        <v>Y</v>
      </c>
      <c r="P2393" s="1" t="str">
        <f t="shared" si="673"/>
        <v>Y</v>
      </c>
      <c r="Q2393" s="1" t="str">
        <f t="shared" si="676"/>
        <v>A</v>
      </c>
    </row>
    <row r="2394" spans="1:17" x14ac:dyDescent="0.3">
      <c r="A2394" s="1" t="str">
        <f>"ZR"</f>
        <v>ZR</v>
      </c>
      <c r="B2394" s="1" t="str">
        <f>"J0502"</f>
        <v>J0502</v>
      </c>
      <c r="C2394" s="1" t="str">
        <f>"아편(마약류) 양성"</f>
        <v>아편(마약류) 양성</v>
      </c>
      <c r="D2394" s="1" t="str">
        <f>"아편 마약성분 검사상 양성 소견입니다."</f>
        <v>아편 마약성분 검사상 양성 소견입니다.</v>
      </c>
      <c r="E2394" s="1" t="str">
        <f>""</f>
        <v/>
      </c>
      <c r="F2394" s="1" t="str">
        <f>""</f>
        <v/>
      </c>
      <c r="G2394" s="1" t="str">
        <f>""</f>
        <v/>
      </c>
      <c r="H2394" s="1" t="str">
        <f>"REL00"</f>
        <v>REL00</v>
      </c>
      <c r="I2394" s="1" t="str">
        <f>""</f>
        <v/>
      </c>
      <c r="J2394" s="1" t="str">
        <f>""</f>
        <v/>
      </c>
      <c r="K2394" s="1" t="str">
        <f>""</f>
        <v/>
      </c>
      <c r="L2394" s="1" t="str">
        <f t="shared" si="671"/>
        <v>R</v>
      </c>
      <c r="M2394" s="1" t="str">
        <f>""</f>
        <v/>
      </c>
      <c r="N2394" s="1" t="str">
        <f t="shared" si="672"/>
        <v>Y</v>
      </c>
      <c r="O2394" s="1" t="str">
        <f t="shared" si="675"/>
        <v>Y</v>
      </c>
      <c r="P2394" s="1" t="str">
        <f t="shared" si="673"/>
        <v>Y</v>
      </c>
      <c r="Q2394" s="1" t="str">
        <f t="shared" si="676"/>
        <v>A</v>
      </c>
    </row>
    <row r="2395" spans="1:17" x14ac:dyDescent="0.3">
      <c r="A2395" s="1" t="str">
        <f>"ZR"</f>
        <v>ZR</v>
      </c>
      <c r="B2395" s="1" t="str">
        <f>"J0503"</f>
        <v>J0503</v>
      </c>
      <c r="C2395" s="1" t="str">
        <f>"대마(마약류) 양성"</f>
        <v>대마(마약류) 양성</v>
      </c>
      <c r="D2395" s="1" t="str">
        <f>"대마 마약성분 검사상 양성 소견입니다."</f>
        <v>대마 마약성분 검사상 양성 소견입니다.</v>
      </c>
      <c r="E2395" s="1" t="str">
        <f>""</f>
        <v/>
      </c>
      <c r="F2395" s="1" t="str">
        <f>""</f>
        <v/>
      </c>
      <c r="G2395" s="1" t="str">
        <f>""</f>
        <v/>
      </c>
      <c r="H2395" s="1" t="str">
        <f>"REL00"</f>
        <v>REL00</v>
      </c>
      <c r="I2395" s="1" t="str">
        <f>""</f>
        <v/>
      </c>
      <c r="J2395" s="1" t="str">
        <f>""</f>
        <v/>
      </c>
      <c r="K2395" s="1" t="str">
        <f>""</f>
        <v/>
      </c>
      <c r="L2395" s="1" t="str">
        <f t="shared" si="671"/>
        <v>R</v>
      </c>
      <c r="M2395" s="1" t="str">
        <f>""</f>
        <v/>
      </c>
      <c r="N2395" s="1" t="str">
        <f t="shared" si="672"/>
        <v>Y</v>
      </c>
      <c r="O2395" s="1" t="str">
        <f t="shared" si="675"/>
        <v>Y</v>
      </c>
      <c r="P2395" s="1" t="str">
        <f t="shared" si="673"/>
        <v>Y</v>
      </c>
      <c r="Q2395" s="1" t="str">
        <f t="shared" si="676"/>
        <v>A</v>
      </c>
    </row>
    <row r="2396" spans="1:17" x14ac:dyDescent="0.3">
      <c r="A2396" s="1" t="str">
        <f>"ZR"</f>
        <v>ZR</v>
      </c>
      <c r="B2396" s="1" t="str">
        <f>"LEK502"</f>
        <v>LEK502</v>
      </c>
      <c r="C2396" s="1" t="str">
        <f>"감염성질환의심"</f>
        <v>감염성질환의심</v>
      </c>
      <c r="D2396" s="1" t="str">
        <f>"감염성질환에 대한 정밀검사 받으세요"</f>
        <v>감염성질환에 대한 정밀검사 받으세요</v>
      </c>
      <c r="E2396" s="1" t="str">
        <f>""</f>
        <v/>
      </c>
      <c r="F2396" s="1" t="str">
        <f>"PTM03"</f>
        <v>PTM03</v>
      </c>
      <c r="G2396" s="1" t="str">
        <f>"DISA"</f>
        <v>DISA</v>
      </c>
      <c r="H2396" s="1" t="str">
        <f>"REL30"</f>
        <v>REL30</v>
      </c>
      <c r="I2396" s="1" t="str">
        <f>""</f>
        <v/>
      </c>
      <c r="J2396" s="1" t="str">
        <f>"C31R"</f>
        <v>C31R</v>
      </c>
      <c r="K2396" s="1" t="str">
        <f>"C31R"</f>
        <v>C31R</v>
      </c>
      <c r="L2396" s="1" t="str">
        <f t="shared" si="671"/>
        <v>R</v>
      </c>
      <c r="M2396" s="1" t="str">
        <f>""</f>
        <v/>
      </c>
      <c r="N2396" s="1" t="str">
        <f t="shared" si="672"/>
        <v>Y</v>
      </c>
      <c r="O2396" s="1" t="str">
        <f t="shared" si="675"/>
        <v>Y</v>
      </c>
      <c r="P2396" s="1" t="str">
        <f t="shared" si="673"/>
        <v>Y</v>
      </c>
      <c r="Q2396" s="1" t="str">
        <f t="shared" si="676"/>
        <v>A</v>
      </c>
    </row>
    <row r="2397" spans="1:17" x14ac:dyDescent="0.3">
      <c r="A2397" s="1" t="str">
        <f>""</f>
        <v/>
      </c>
      <c r="B2397" s="1" t="str">
        <f>"AFPJC01"</f>
        <v>AFPJC01</v>
      </c>
      <c r="C2397" s="1" t="str">
        <f>"간암표지자 양성"</f>
        <v>간암표지자 양성</v>
      </c>
      <c r="D2397" s="1" t="s">
        <v>741</v>
      </c>
      <c r="E2397" s="1" t="str">
        <f>"WOK02"</f>
        <v>WOK02</v>
      </c>
      <c r="F2397" s="1" t="str">
        <f>"PTM04"</f>
        <v>PTM04</v>
      </c>
      <c r="G2397" s="1" t="str">
        <f>"DISK"</f>
        <v>DISK</v>
      </c>
      <c r="H2397" s="1" t="str">
        <f>"REL05"</f>
        <v>REL05</v>
      </c>
      <c r="I2397" s="1" t="str">
        <f>""</f>
        <v/>
      </c>
      <c r="J2397" s="1" t="str">
        <f>""</f>
        <v/>
      </c>
      <c r="K2397" s="1" t="str">
        <f>""</f>
        <v/>
      </c>
      <c r="L2397" s="1" t="str">
        <f t="shared" si="671"/>
        <v>R</v>
      </c>
      <c r="M2397" s="1" t="str">
        <f>"T02"</f>
        <v>T02</v>
      </c>
      <c r="N2397" s="1" t="str">
        <f t="shared" si="672"/>
        <v>Y</v>
      </c>
      <c r="O2397" s="1" t="str">
        <f t="shared" si="675"/>
        <v>Y</v>
      </c>
      <c r="P2397" s="1" t="str">
        <f t="shared" si="673"/>
        <v>Y</v>
      </c>
      <c r="Q2397" s="1" t="str">
        <f t="shared" si="676"/>
        <v>A</v>
      </c>
    </row>
    <row r="2398" spans="1:17" x14ac:dyDescent="0.3">
      <c r="A2398" s="1" t="str">
        <f>""</f>
        <v/>
      </c>
      <c r="B2398" s="1" t="str">
        <f>"FGNRPR104"</f>
        <v>FGNRPR104</v>
      </c>
      <c r="C2398" s="1" t="str">
        <f>"음성(매독검사)"</f>
        <v>음성(매독검사)</v>
      </c>
      <c r="D2398" s="1" t="str">
        <f>"검사결과 음성입니다."</f>
        <v>검사결과 음성입니다.</v>
      </c>
      <c r="E2398" s="1" t="str">
        <f>""</f>
        <v/>
      </c>
      <c r="F2398" s="1" t="str">
        <f>""</f>
        <v/>
      </c>
      <c r="G2398" s="1" t="str">
        <f>""</f>
        <v/>
      </c>
      <c r="H2398" s="1" t="str">
        <f>""</f>
        <v/>
      </c>
      <c r="I2398" s="1" t="str">
        <f>""</f>
        <v/>
      </c>
      <c r="J2398" s="1" t="str">
        <f>""</f>
        <v/>
      </c>
      <c r="K2398" s="1" t="str">
        <f>""</f>
        <v/>
      </c>
      <c r="L2398" s="1" t="str">
        <f t="shared" si="671"/>
        <v>R</v>
      </c>
      <c r="M2398" s="1" t="str">
        <f>""</f>
        <v/>
      </c>
      <c r="N2398" s="1" t="str">
        <f t="shared" si="672"/>
        <v>Y</v>
      </c>
      <c r="O2398" s="1" t="str">
        <f t="shared" si="675"/>
        <v>Y</v>
      </c>
      <c r="P2398" s="1" t="str">
        <f t="shared" si="673"/>
        <v>Y</v>
      </c>
      <c r="Q2398" s="1" t="str">
        <f t="shared" si="676"/>
        <v>A</v>
      </c>
    </row>
    <row r="2399" spans="1:17" x14ac:dyDescent="0.3">
      <c r="A2399" s="1" t="str">
        <f>""</f>
        <v/>
      </c>
      <c r="B2399" s="1" t="str">
        <f>"GHJD"</f>
        <v>GHJD</v>
      </c>
      <c r="C2399" s="1" t="str">
        <f>"비타민 D 부족"</f>
        <v>비타민 D 부족</v>
      </c>
      <c r="D2399" s="1" t="s">
        <v>742</v>
      </c>
      <c r="E2399" s="1" t="str">
        <f>""</f>
        <v/>
      </c>
      <c r="F2399" s="1" t="str">
        <f>""</f>
        <v/>
      </c>
      <c r="G2399" s="1" t="str">
        <f>""</f>
        <v/>
      </c>
      <c r="H2399" s="1" t="str">
        <f>""</f>
        <v/>
      </c>
      <c r="I2399" s="1" t="str">
        <f>""</f>
        <v/>
      </c>
      <c r="J2399" s="1" t="str">
        <f>""</f>
        <v/>
      </c>
      <c r="K2399" s="1" t="str">
        <f>""</f>
        <v/>
      </c>
      <c r="L2399" s="1" t="str">
        <f t="shared" si="671"/>
        <v>R</v>
      </c>
      <c r="M2399" s="1" t="str">
        <f>""</f>
        <v/>
      </c>
      <c r="N2399" s="1" t="str">
        <f t="shared" si="672"/>
        <v>Y</v>
      </c>
      <c r="O2399" s="1" t="str">
        <f t="shared" si="675"/>
        <v>Y</v>
      </c>
      <c r="P2399" s="1" t="str">
        <f t="shared" si="673"/>
        <v>Y</v>
      </c>
      <c r="Q2399" s="1" t="str">
        <f t="shared" si="676"/>
        <v>A</v>
      </c>
    </row>
    <row r="2400" spans="1:17" x14ac:dyDescent="0.3">
      <c r="A2400" s="1" t="str">
        <f>""</f>
        <v/>
      </c>
      <c r="B2400" s="1" t="str">
        <f>"GNTFT01"</f>
        <v>GNTFT01</v>
      </c>
      <c r="C2400" s="1" t="str">
        <f>"특이소견 없음"</f>
        <v>특이소견 없음</v>
      </c>
      <c r="D2400" s="1" t="str">
        <f>""</f>
        <v/>
      </c>
      <c r="E2400" s="1" t="str">
        <f>""</f>
        <v/>
      </c>
      <c r="F2400" s="1" t="str">
        <f>""</f>
        <v/>
      </c>
      <c r="G2400" s="1" t="str">
        <f>""</f>
        <v/>
      </c>
      <c r="H2400" s="1" t="str">
        <f>""</f>
        <v/>
      </c>
      <c r="I2400" s="1" t="str">
        <f>""</f>
        <v/>
      </c>
      <c r="J2400" s="1" t="str">
        <f>""</f>
        <v/>
      </c>
      <c r="K2400" s="1" t="str">
        <f>""</f>
        <v/>
      </c>
      <c r="L2400" s="1" t="str">
        <f t="shared" si="671"/>
        <v>R</v>
      </c>
      <c r="M2400" s="1" t="str">
        <f>""</f>
        <v/>
      </c>
      <c r="N2400" s="1" t="str">
        <f t="shared" si="672"/>
        <v>Y</v>
      </c>
      <c r="O2400" s="1" t="str">
        <f t="shared" si="675"/>
        <v>Y</v>
      </c>
      <c r="P2400" s="1" t="str">
        <f t="shared" si="673"/>
        <v>Y</v>
      </c>
      <c r="Q2400" s="1" t="str">
        <f t="shared" si="676"/>
        <v>A</v>
      </c>
    </row>
    <row r="2401" spans="1:17" x14ac:dyDescent="0.3">
      <c r="A2401" s="1" t="str">
        <f>""</f>
        <v/>
      </c>
      <c r="B2401" s="1" t="str">
        <f>"J0500"</f>
        <v>J0500</v>
      </c>
      <c r="C2401" s="1" t="str">
        <f>"필로폰(마약류) 양성"</f>
        <v>필로폰(마약류) 양성</v>
      </c>
      <c r="D2401" s="1" t="str">
        <f>"필로폰 마약성분 검사상 양성 소견입니다."</f>
        <v>필로폰 마약성분 검사상 양성 소견입니다.</v>
      </c>
      <c r="E2401" s="1" t="str">
        <f>""</f>
        <v/>
      </c>
      <c r="F2401" s="1" t="str">
        <f>""</f>
        <v/>
      </c>
      <c r="G2401" s="1" t="str">
        <f>""</f>
        <v/>
      </c>
      <c r="H2401" s="1" t="str">
        <f>"REL00"</f>
        <v>REL00</v>
      </c>
      <c r="I2401" s="1" t="str">
        <f>"P0969"</f>
        <v>P0969</v>
      </c>
      <c r="J2401" s="1" t="str">
        <f>""</f>
        <v/>
      </c>
      <c r="K2401" s="1" t="str">
        <f>""</f>
        <v/>
      </c>
      <c r="L2401" s="1" t="str">
        <f t="shared" si="671"/>
        <v>R</v>
      </c>
      <c r="M2401" s="1" t="str">
        <f>""</f>
        <v/>
      </c>
      <c r="N2401" s="1" t="str">
        <f t="shared" si="672"/>
        <v>Y</v>
      </c>
      <c r="O2401" s="1" t="str">
        <f t="shared" si="675"/>
        <v>Y</v>
      </c>
      <c r="P2401" s="1" t="str">
        <f t="shared" si="673"/>
        <v>Y</v>
      </c>
      <c r="Q2401" s="1" t="str">
        <f t="shared" si="676"/>
        <v>A</v>
      </c>
    </row>
    <row r="2402" spans="1:17" x14ac:dyDescent="0.3">
      <c r="A2402" s="1" t="str">
        <f>""</f>
        <v/>
      </c>
      <c r="B2402" s="1" t="str">
        <f>"LTS651"</f>
        <v>LTS651</v>
      </c>
      <c r="C2402" s="1" t="str">
        <f>"낮은  흡연 의존도 단계"</f>
        <v>낮은  흡연 의존도 단계</v>
      </c>
      <c r="D2402" s="1" t="str">
        <f>"현재 금연 시도시 성공할 가능성이 높은 단계입니다."</f>
        <v>현재 금연 시도시 성공할 가능성이 높은 단계입니다.</v>
      </c>
      <c r="E2402" s="1" t="str">
        <f>""</f>
        <v/>
      </c>
      <c r="F2402" s="1" t="str">
        <f>"PTM01"</f>
        <v>PTM01</v>
      </c>
      <c r="G2402" s="1" t="str">
        <f>""</f>
        <v/>
      </c>
      <c r="H2402" s="1" t="str">
        <f>"REL26"</f>
        <v>REL26</v>
      </c>
      <c r="I2402" s="1" t="str">
        <f>""</f>
        <v/>
      </c>
      <c r="J2402" s="1" t="str">
        <f>""</f>
        <v/>
      </c>
      <c r="K2402" s="1" t="str">
        <f>""</f>
        <v/>
      </c>
      <c r="L2402" s="1" t="str">
        <f t="shared" si="671"/>
        <v>R</v>
      </c>
      <c r="M2402" s="1" t="str">
        <f>""</f>
        <v/>
      </c>
      <c r="N2402" s="1" t="str">
        <f t="shared" si="672"/>
        <v>Y</v>
      </c>
      <c r="O2402" s="1" t="str">
        <f t="shared" si="675"/>
        <v>Y</v>
      </c>
      <c r="P2402" s="1" t="str">
        <f t="shared" si="673"/>
        <v>Y</v>
      </c>
      <c r="Q2402" s="1" t="str">
        <f t="shared" si="676"/>
        <v>A</v>
      </c>
    </row>
    <row r="2403" spans="1:17" x14ac:dyDescent="0.3">
      <c r="A2403" s="1" t="str">
        <f>""</f>
        <v/>
      </c>
      <c r="B2403" s="1" t="str">
        <f>"LTS652"</f>
        <v>LTS652</v>
      </c>
      <c r="C2403" s="1" t="str">
        <f>"중등도 흡연 의존도 단계"</f>
        <v>중등도 흡연 의존도 단계</v>
      </c>
      <c r="D2403" s="1" t="str">
        <f>"흡연에 대한 신체적/정신적 의존 관계에 대한 주의가 필요합니다."</f>
        <v>흡연에 대한 신체적/정신적 의존 관계에 대한 주의가 필요합니다.</v>
      </c>
      <c r="E2403" s="1" t="str">
        <f>"WOK02"</f>
        <v>WOK02</v>
      </c>
      <c r="F2403" s="1" t="str">
        <f>"PTM01"</f>
        <v>PTM01</v>
      </c>
      <c r="G2403" s="1" t="str">
        <f>"DISE"</f>
        <v>DISE</v>
      </c>
      <c r="H2403" s="1" t="str">
        <f>"REL10"</f>
        <v>REL10</v>
      </c>
      <c r="I2403" s="1" t="str">
        <f>""</f>
        <v/>
      </c>
      <c r="J2403" s="1" t="str">
        <f>""</f>
        <v/>
      </c>
      <c r="K2403" s="1" t="str">
        <f>""</f>
        <v/>
      </c>
      <c r="L2403" s="1" t="str">
        <f t="shared" si="671"/>
        <v>R</v>
      </c>
      <c r="M2403" s="1" t="str">
        <f>""</f>
        <v/>
      </c>
      <c r="N2403" s="1" t="str">
        <f t="shared" si="672"/>
        <v>Y</v>
      </c>
      <c r="O2403" s="1" t="str">
        <f t="shared" si="675"/>
        <v>Y</v>
      </c>
      <c r="P2403" s="1" t="str">
        <f t="shared" si="673"/>
        <v>Y</v>
      </c>
      <c r="Q2403" s="1" t="str">
        <f t="shared" si="676"/>
        <v>A</v>
      </c>
    </row>
    <row r="2404" spans="1:17" x14ac:dyDescent="0.3">
      <c r="A2404" s="1" t="str">
        <f>""</f>
        <v/>
      </c>
      <c r="B2404" s="1" t="str">
        <f>"LTS653"</f>
        <v>LTS653</v>
      </c>
      <c r="C2404" s="1" t="str">
        <f>"높은 흡연 의존도 단계"</f>
        <v>높은 흡연 의존도 단계</v>
      </c>
      <c r="D2404" s="1" t="str">
        <f>"흡연 의존도가 정신적/신체적 문제를 야기할 수 있는 단계입니다.금연 클리닉 방문 또는 전문가와 상담하세요"</f>
        <v>흡연 의존도가 정신적/신체적 문제를 야기할 수 있는 단계입니다.금연 클리닉 방문 또는 전문가와 상담하세요</v>
      </c>
      <c r="E2404" s="1" t="str">
        <f>"WOK02"</f>
        <v>WOK02</v>
      </c>
      <c r="F2404" s="1" t="str">
        <f>"PTM01"</f>
        <v>PTM01</v>
      </c>
      <c r="G2404" s="1" t="str">
        <f>"DISE"</f>
        <v>DISE</v>
      </c>
      <c r="H2404" s="1" t="str">
        <f>"REL10"</f>
        <v>REL10</v>
      </c>
      <c r="I2404" s="1" t="str">
        <f>""</f>
        <v/>
      </c>
      <c r="J2404" s="1" t="str">
        <f>""</f>
        <v/>
      </c>
      <c r="K2404" s="1" t="str">
        <f>""</f>
        <v/>
      </c>
      <c r="L2404" s="1" t="str">
        <f t="shared" si="671"/>
        <v>R</v>
      </c>
      <c r="M2404" s="1" t="str">
        <f>""</f>
        <v/>
      </c>
      <c r="N2404" s="1" t="str">
        <f t="shared" si="672"/>
        <v>Y</v>
      </c>
      <c r="O2404" s="1" t="str">
        <f t="shared" si="675"/>
        <v>Y</v>
      </c>
      <c r="P2404" s="1" t="str">
        <f t="shared" si="673"/>
        <v>Y</v>
      </c>
      <c r="Q2404" s="1" t="str">
        <f t="shared" si="676"/>
        <v>A</v>
      </c>
    </row>
    <row r="2405" spans="1:17" x14ac:dyDescent="0.3">
      <c r="A2405" s="1" t="str">
        <f>""</f>
        <v/>
      </c>
      <c r="B2405" s="1" t="str">
        <f>"LTS661"</f>
        <v>LTS661</v>
      </c>
      <c r="C2405" s="1" t="str">
        <f>"적정 음주 수준"</f>
        <v>적정 음주 수준</v>
      </c>
      <c r="D2405" s="1" t="str">
        <f>"현재의 음주량을 넘어서지 않는 범위내에서 조절하세요"</f>
        <v>현재의 음주량을 넘어서지 않는 범위내에서 조절하세요</v>
      </c>
      <c r="E2405" s="1" t="str">
        <f>""</f>
        <v/>
      </c>
      <c r="F2405" s="1" t="str">
        <f>""</f>
        <v/>
      </c>
      <c r="G2405" s="1" t="str">
        <f>"DISZ"</f>
        <v>DISZ</v>
      </c>
      <c r="H2405" s="1" t="str">
        <f>""</f>
        <v/>
      </c>
      <c r="I2405" s="1" t="str">
        <f>""</f>
        <v/>
      </c>
      <c r="J2405" s="1" t="str">
        <f>""</f>
        <v/>
      </c>
      <c r="K2405" s="1" t="str">
        <f>""</f>
        <v/>
      </c>
      <c r="L2405" s="1" t="str">
        <f t="shared" si="671"/>
        <v>R</v>
      </c>
      <c r="M2405" s="1" t="str">
        <f>""</f>
        <v/>
      </c>
      <c r="N2405" s="1" t="str">
        <f t="shared" si="672"/>
        <v>Y</v>
      </c>
      <c r="O2405" s="1" t="str">
        <f t="shared" si="675"/>
        <v>Y</v>
      </c>
      <c r="P2405" s="1" t="str">
        <f t="shared" si="673"/>
        <v>Y</v>
      </c>
      <c r="Q2405" s="1" t="str">
        <f t="shared" si="676"/>
        <v>A</v>
      </c>
    </row>
    <row r="2406" spans="1:17" x14ac:dyDescent="0.3">
      <c r="A2406" s="1" t="str">
        <f>""</f>
        <v/>
      </c>
      <c r="B2406" s="1" t="str">
        <f>"LTS662"</f>
        <v>LTS662</v>
      </c>
      <c r="C2406" s="1" t="str">
        <f>"위험 음주 수준"</f>
        <v>위험 음주 수준</v>
      </c>
      <c r="D2406" s="1" t="str">
        <f>"절주에 대한 고려 및 적정 음주량이 되도록 조절이 요구됩니다."</f>
        <v>절주에 대한 고려 및 적정 음주량이 되도록 조절이 요구됩니다.</v>
      </c>
      <c r="E2406" s="1" t="str">
        <f>"WOK01"</f>
        <v>WOK01</v>
      </c>
      <c r="F2406" s="1" t="str">
        <f>"PTM01"</f>
        <v>PTM01</v>
      </c>
      <c r="G2406" s="1" t="str">
        <f>"DISE"</f>
        <v>DISE</v>
      </c>
      <c r="H2406" s="1" t="str">
        <f>"REL10"</f>
        <v>REL10</v>
      </c>
      <c r="I2406" s="1" t="str">
        <f>""</f>
        <v/>
      </c>
      <c r="J2406" s="1" t="str">
        <f>""</f>
        <v/>
      </c>
      <c r="K2406" s="1" t="str">
        <f>""</f>
        <v/>
      </c>
      <c r="L2406" s="1" t="str">
        <f t="shared" si="671"/>
        <v>R</v>
      </c>
      <c r="M2406" s="1" t="str">
        <f>""</f>
        <v/>
      </c>
      <c r="N2406" s="1" t="str">
        <f t="shared" si="672"/>
        <v>Y</v>
      </c>
      <c r="O2406" s="1" t="str">
        <f t="shared" si="675"/>
        <v>Y</v>
      </c>
      <c r="P2406" s="1" t="str">
        <f t="shared" si="673"/>
        <v>Y</v>
      </c>
      <c r="Q2406" s="1" t="str">
        <f t="shared" si="676"/>
        <v>A</v>
      </c>
    </row>
    <row r="2407" spans="1:17" x14ac:dyDescent="0.3">
      <c r="A2407" s="1" t="str">
        <f>""</f>
        <v/>
      </c>
      <c r="B2407" s="1" t="str">
        <f>"LTS663"</f>
        <v>LTS663</v>
      </c>
      <c r="C2407" s="1" t="str">
        <f>"알코올 남용 수준"</f>
        <v>알코올 남용 수준</v>
      </c>
      <c r="D2407" s="1" t="str">
        <f>"금주/절주에 대한 노력이 요구되며 상담이 필요합니다."</f>
        <v>금주/절주에 대한 노력이 요구되며 상담이 필요합니다.</v>
      </c>
      <c r="E2407" s="1" t="str">
        <f>"WOK02"</f>
        <v>WOK02</v>
      </c>
      <c r="F2407" s="1" t="str">
        <f>"PTM01"</f>
        <v>PTM01</v>
      </c>
      <c r="G2407" s="1" t="str">
        <f>"DISE"</f>
        <v>DISE</v>
      </c>
      <c r="H2407" s="1" t="str">
        <f>"REL10"</f>
        <v>REL10</v>
      </c>
      <c r="I2407" s="1" t="str">
        <f>""</f>
        <v/>
      </c>
      <c r="J2407" s="1" t="str">
        <f>""</f>
        <v/>
      </c>
      <c r="K2407" s="1" t="str">
        <f>""</f>
        <v/>
      </c>
      <c r="L2407" s="1" t="str">
        <f t="shared" si="671"/>
        <v>R</v>
      </c>
      <c r="M2407" s="1" t="str">
        <f>""</f>
        <v/>
      </c>
      <c r="N2407" s="1" t="str">
        <f t="shared" si="672"/>
        <v>Y</v>
      </c>
      <c r="O2407" s="1" t="str">
        <f t="shared" si="675"/>
        <v>Y</v>
      </c>
      <c r="P2407" s="1" t="str">
        <f t="shared" si="673"/>
        <v>Y</v>
      </c>
      <c r="Q2407" s="1" t="str">
        <f t="shared" si="676"/>
        <v>A</v>
      </c>
    </row>
    <row r="2408" spans="1:17" x14ac:dyDescent="0.3">
      <c r="A2408" s="1" t="str">
        <f>""</f>
        <v/>
      </c>
      <c r="B2408" s="1" t="str">
        <f>"LTS664"</f>
        <v>LTS664</v>
      </c>
      <c r="C2408" s="1" t="str">
        <f>"알코올 의존 수준"</f>
        <v>알코올 의존 수준</v>
      </c>
      <c r="D2408" s="1" t="str">
        <f>"금주/절주 및 전문가 상담이 필요합니다."</f>
        <v>금주/절주 및 전문가 상담이 필요합니다.</v>
      </c>
      <c r="E2408" s="1" t="str">
        <f>"WOK02"</f>
        <v>WOK02</v>
      </c>
      <c r="F2408" s="1" t="str">
        <f>"PTM01"</f>
        <v>PTM01</v>
      </c>
      <c r="G2408" s="1" t="str">
        <f>"DISE"</f>
        <v>DISE</v>
      </c>
      <c r="H2408" s="1" t="str">
        <f>"REL10"</f>
        <v>REL10</v>
      </c>
      <c r="I2408" s="1" t="str">
        <f>""</f>
        <v/>
      </c>
      <c r="J2408" s="1" t="str">
        <f>""</f>
        <v/>
      </c>
      <c r="K2408" s="1" t="str">
        <f>""</f>
        <v/>
      </c>
      <c r="L2408" s="1" t="str">
        <f t="shared" si="671"/>
        <v>R</v>
      </c>
      <c r="M2408" s="1" t="str">
        <f>""</f>
        <v/>
      </c>
      <c r="N2408" s="1" t="str">
        <f t="shared" si="672"/>
        <v>Y</v>
      </c>
      <c r="O2408" s="1" t="str">
        <f t="shared" si="675"/>
        <v>Y</v>
      </c>
      <c r="P2408" s="1" t="str">
        <f t="shared" si="673"/>
        <v>Y</v>
      </c>
      <c r="Q2408" s="1" t="str">
        <f t="shared" si="676"/>
        <v>A</v>
      </c>
    </row>
    <row r="2409" spans="1:17" x14ac:dyDescent="0.3">
      <c r="A2409" s="1" t="str">
        <f>""</f>
        <v/>
      </c>
      <c r="B2409" s="1" t="str">
        <f>"LTS671"</f>
        <v>LTS671</v>
      </c>
      <c r="C2409" s="1" t="str">
        <f>"건강 증진수준의 운동상태"</f>
        <v>건강 증진수준의 운동상태</v>
      </c>
      <c r="D2409" s="1" t="str">
        <f>"건강을 증진시키기에 충분한 운동 상태입니다."</f>
        <v>건강을 증진시키기에 충분한 운동 상태입니다.</v>
      </c>
      <c r="E2409" s="1" t="str">
        <f>""</f>
        <v/>
      </c>
      <c r="F2409" s="1" t="str">
        <f>""</f>
        <v/>
      </c>
      <c r="G2409" s="1" t="str">
        <f>"DISZ"</f>
        <v>DISZ</v>
      </c>
      <c r="H2409" s="1" t="str">
        <f>""</f>
        <v/>
      </c>
      <c r="I2409" s="1" t="str">
        <f>""</f>
        <v/>
      </c>
      <c r="J2409" s="1" t="str">
        <f>""</f>
        <v/>
      </c>
      <c r="K2409" s="1" t="str">
        <f>""</f>
        <v/>
      </c>
      <c r="L2409" s="1" t="str">
        <f t="shared" si="671"/>
        <v>R</v>
      </c>
      <c r="M2409" s="1" t="str">
        <f>""</f>
        <v/>
      </c>
      <c r="N2409" s="1" t="str">
        <f t="shared" si="672"/>
        <v>Y</v>
      </c>
      <c r="O2409" s="1" t="str">
        <f t="shared" si="675"/>
        <v>Y</v>
      </c>
      <c r="P2409" s="1" t="str">
        <f t="shared" si="673"/>
        <v>Y</v>
      </c>
      <c r="Q2409" s="1" t="str">
        <f t="shared" si="676"/>
        <v>A</v>
      </c>
    </row>
    <row r="2410" spans="1:17" x14ac:dyDescent="0.3">
      <c r="A2410" s="1" t="str">
        <f>""</f>
        <v/>
      </c>
      <c r="B2410" s="1" t="str">
        <f>"LTS672"</f>
        <v>LTS672</v>
      </c>
      <c r="C2410" s="1" t="str">
        <f>"건강 유지수준의 운동상태"</f>
        <v>건강 유지수준의 운동상태</v>
      </c>
      <c r="D2410" s="1" t="str">
        <f>"그런대로 건강을 유지하는 운동수준이나 건강을 증진시키기에는 충분하지 않은 수준입니다."</f>
        <v>그런대로 건강을 유지하는 운동수준이나 건강을 증진시키기에는 충분하지 않은 수준입니다.</v>
      </c>
      <c r="E2410" s="1" t="str">
        <f>"WOK01"</f>
        <v>WOK01</v>
      </c>
      <c r="F2410" s="1" t="str">
        <f>"PTM01"</f>
        <v>PTM01</v>
      </c>
      <c r="G2410" s="1" t="str">
        <f>"DISE"</f>
        <v>DISE</v>
      </c>
      <c r="H2410" s="1" t="str">
        <f>"REL10"</f>
        <v>REL10</v>
      </c>
      <c r="I2410" s="1" t="str">
        <f>""</f>
        <v/>
      </c>
      <c r="J2410" s="1" t="str">
        <f>""</f>
        <v/>
      </c>
      <c r="K2410" s="1" t="str">
        <f>""</f>
        <v/>
      </c>
      <c r="L2410" s="1" t="str">
        <f t="shared" si="671"/>
        <v>R</v>
      </c>
      <c r="M2410" s="1" t="str">
        <f>""</f>
        <v/>
      </c>
      <c r="N2410" s="1" t="str">
        <f t="shared" si="672"/>
        <v>Y</v>
      </c>
      <c r="O2410" s="1" t="str">
        <f t="shared" si="675"/>
        <v>Y</v>
      </c>
      <c r="P2410" s="1" t="str">
        <f t="shared" si="673"/>
        <v>Y</v>
      </c>
      <c r="Q2410" s="1" t="str">
        <f t="shared" si="676"/>
        <v>A</v>
      </c>
    </row>
    <row r="2411" spans="1:17" x14ac:dyDescent="0.3">
      <c r="A2411" s="1" t="str">
        <f>""</f>
        <v/>
      </c>
      <c r="B2411" s="1" t="str">
        <f>"LTS673"</f>
        <v>LTS673</v>
      </c>
      <c r="C2411" s="1" t="str">
        <f>"운동 부족 수준"</f>
        <v>운동 부족 수준</v>
      </c>
      <c r="D2411" s="1" t="str">
        <f>"신체활동량이 부족하여 건강을 유지하기에도 부족한 수준입니다."</f>
        <v>신체활동량이 부족하여 건강을 유지하기에도 부족한 수준입니다.</v>
      </c>
      <c r="E2411" s="1" t="str">
        <f>"WOK02"</f>
        <v>WOK02</v>
      </c>
      <c r="F2411" s="1" t="str">
        <f>"PTM01"</f>
        <v>PTM01</v>
      </c>
      <c r="G2411" s="1" t="str">
        <f>"DISE"</f>
        <v>DISE</v>
      </c>
      <c r="H2411" s="1" t="str">
        <f>"REL10"</f>
        <v>REL10</v>
      </c>
      <c r="I2411" s="1" t="str">
        <f>""</f>
        <v/>
      </c>
      <c r="J2411" s="1" t="str">
        <f>""</f>
        <v/>
      </c>
      <c r="K2411" s="1" t="str">
        <f>""</f>
        <v/>
      </c>
      <c r="L2411" s="1" t="str">
        <f t="shared" si="671"/>
        <v>R</v>
      </c>
      <c r="M2411" s="1" t="str">
        <f>""</f>
        <v/>
      </c>
      <c r="N2411" s="1" t="str">
        <f t="shared" si="672"/>
        <v>Y</v>
      </c>
      <c r="O2411" s="1" t="str">
        <f t="shared" si="675"/>
        <v>Y</v>
      </c>
      <c r="P2411" s="1" t="str">
        <f t="shared" si="673"/>
        <v>Y</v>
      </c>
      <c r="Q2411" s="1" t="str">
        <f t="shared" si="676"/>
        <v>A</v>
      </c>
    </row>
    <row r="2412" spans="1:17" x14ac:dyDescent="0.3">
      <c r="A2412" s="1" t="str">
        <f>""</f>
        <v/>
      </c>
      <c r="B2412" s="1" t="str">
        <f>"LTS681"</f>
        <v>LTS681</v>
      </c>
      <c r="C2412" s="1" t="str">
        <f>"영양 습관 양호"</f>
        <v>영양 습관 양호</v>
      </c>
      <c r="D2412" s="1" t="str">
        <f>"질병을 예방하고 건강을 유지할 수 있을 만큼 양호한 상태입니다."</f>
        <v>질병을 예방하고 건강을 유지할 수 있을 만큼 양호한 상태입니다.</v>
      </c>
      <c r="E2412" s="1" t="str">
        <f>""</f>
        <v/>
      </c>
      <c r="F2412" s="1" t="str">
        <f>""</f>
        <v/>
      </c>
      <c r="G2412" s="1" t="str">
        <f>"DISZ"</f>
        <v>DISZ</v>
      </c>
      <c r="H2412" s="1" t="str">
        <f>""</f>
        <v/>
      </c>
      <c r="I2412" s="1" t="str">
        <f>""</f>
        <v/>
      </c>
      <c r="J2412" s="1" t="str">
        <f>""</f>
        <v/>
      </c>
      <c r="K2412" s="1" t="str">
        <f>""</f>
        <v/>
      </c>
      <c r="L2412" s="1" t="str">
        <f t="shared" si="671"/>
        <v>R</v>
      </c>
      <c r="M2412" s="1" t="str">
        <f>""</f>
        <v/>
      </c>
      <c r="N2412" s="1" t="str">
        <f t="shared" si="672"/>
        <v>Y</v>
      </c>
      <c r="O2412" s="1" t="str">
        <f t="shared" si="675"/>
        <v>Y</v>
      </c>
      <c r="P2412" s="1" t="str">
        <f t="shared" si="673"/>
        <v>Y</v>
      </c>
      <c r="Q2412" s="1" t="str">
        <f t="shared" si="676"/>
        <v>A</v>
      </c>
    </row>
    <row r="2413" spans="1:17" x14ac:dyDescent="0.3">
      <c r="A2413" s="1" t="str">
        <f>""</f>
        <v/>
      </c>
      <c r="B2413" s="1" t="str">
        <f>"LTS682"</f>
        <v>LTS682</v>
      </c>
      <c r="C2413" s="1" t="str">
        <f>"영양 습관 보통"</f>
        <v>영양 습관 보통</v>
      </c>
      <c r="D2413" s="1" t="str">
        <f>"평균적인 식생활 습관을 영위하고 있는 상태입니다."</f>
        <v>평균적인 식생활 습관을 영위하고 있는 상태입니다.</v>
      </c>
      <c r="E2413" s="1" t="str">
        <f>""</f>
        <v/>
      </c>
      <c r="F2413" s="1" t="str">
        <f>""</f>
        <v/>
      </c>
      <c r="G2413" s="1" t="str">
        <f>"DISZ"</f>
        <v>DISZ</v>
      </c>
      <c r="H2413" s="1" t="str">
        <f>""</f>
        <v/>
      </c>
      <c r="I2413" s="1" t="str">
        <f>""</f>
        <v/>
      </c>
      <c r="J2413" s="1" t="str">
        <f>""</f>
        <v/>
      </c>
      <c r="K2413" s="1" t="str">
        <f>""</f>
        <v/>
      </c>
      <c r="L2413" s="1" t="str">
        <f t="shared" si="671"/>
        <v>R</v>
      </c>
      <c r="M2413" s="1" t="str">
        <f>""</f>
        <v/>
      </c>
      <c r="N2413" s="1" t="str">
        <f t="shared" si="672"/>
        <v>Y</v>
      </c>
      <c r="O2413" s="1" t="str">
        <f t="shared" si="675"/>
        <v>Y</v>
      </c>
      <c r="P2413" s="1" t="str">
        <f t="shared" si="673"/>
        <v>Y</v>
      </c>
      <c r="Q2413" s="1" t="str">
        <f t="shared" si="676"/>
        <v>A</v>
      </c>
    </row>
    <row r="2414" spans="1:17" x14ac:dyDescent="0.3">
      <c r="A2414" s="1" t="str">
        <f>""</f>
        <v/>
      </c>
      <c r="B2414" s="1" t="str">
        <f>"LTS683"</f>
        <v>LTS683</v>
      </c>
      <c r="C2414" s="1" t="str">
        <f>"영양 습관 불량"</f>
        <v>영양 습관 불량</v>
      </c>
      <c r="D2414" s="1" t="str">
        <f>"적절한 영양섭취를 위해 식생활 개선이 필요합니다."</f>
        <v>적절한 영양섭취를 위해 식생활 개선이 필요합니다.</v>
      </c>
      <c r="E2414" s="1" t="str">
        <f>"WOK02"</f>
        <v>WOK02</v>
      </c>
      <c r="F2414" s="1" t="str">
        <f>"PTM01"</f>
        <v>PTM01</v>
      </c>
      <c r="G2414" s="1" t="str">
        <f>"DISE"</f>
        <v>DISE</v>
      </c>
      <c r="H2414" s="1" t="str">
        <f>"REL10"</f>
        <v>REL10</v>
      </c>
      <c r="I2414" s="1" t="str">
        <f>""</f>
        <v/>
      </c>
      <c r="J2414" s="1" t="str">
        <f>""</f>
        <v/>
      </c>
      <c r="K2414" s="1" t="str">
        <f>""</f>
        <v/>
      </c>
      <c r="L2414" s="1" t="str">
        <f t="shared" si="671"/>
        <v>R</v>
      </c>
      <c r="M2414" s="1" t="str">
        <f>""</f>
        <v/>
      </c>
      <c r="N2414" s="1" t="str">
        <f t="shared" si="672"/>
        <v>Y</v>
      </c>
      <c r="O2414" s="1" t="str">
        <f t="shared" si="675"/>
        <v>Y</v>
      </c>
      <c r="P2414" s="1" t="str">
        <f t="shared" si="673"/>
        <v>Y</v>
      </c>
      <c r="Q2414" s="1" t="str">
        <f t="shared" si="676"/>
        <v>A</v>
      </c>
    </row>
    <row r="2415" spans="1:17" x14ac:dyDescent="0.3">
      <c r="A2415" s="1" t="str">
        <f>""</f>
        <v/>
      </c>
      <c r="B2415" s="1" t="str">
        <f>"LTS692"</f>
        <v>LTS692</v>
      </c>
      <c r="C2415" s="1" t="str">
        <f>"정상체중"</f>
        <v>정상체중</v>
      </c>
      <c r="D2415" s="1" t="str">
        <f>""</f>
        <v/>
      </c>
      <c r="E2415" s="1" t="str">
        <f>""</f>
        <v/>
      </c>
      <c r="F2415" s="1" t="str">
        <f>""</f>
        <v/>
      </c>
      <c r="G2415" s="1" t="str">
        <f>"DISZ"</f>
        <v>DISZ</v>
      </c>
      <c r="H2415" s="1" t="str">
        <f>""</f>
        <v/>
      </c>
      <c r="I2415" s="1" t="str">
        <f>""</f>
        <v/>
      </c>
      <c r="J2415" s="1" t="str">
        <f>""</f>
        <v/>
      </c>
      <c r="K2415" s="1" t="str">
        <f>""</f>
        <v/>
      </c>
      <c r="L2415" s="1" t="str">
        <f t="shared" si="671"/>
        <v>R</v>
      </c>
      <c r="M2415" s="1" t="str">
        <f>""</f>
        <v/>
      </c>
      <c r="N2415" s="1" t="str">
        <f t="shared" si="672"/>
        <v>Y</v>
      </c>
      <c r="O2415" s="1" t="str">
        <f t="shared" si="675"/>
        <v>Y</v>
      </c>
      <c r="P2415" s="1" t="str">
        <f t="shared" si="673"/>
        <v>Y</v>
      </c>
      <c r="Q2415" s="1" t="str">
        <f t="shared" si="676"/>
        <v>A</v>
      </c>
    </row>
    <row r="2416" spans="1:17" x14ac:dyDescent="0.3">
      <c r="A2416" s="1" t="str">
        <f>""</f>
        <v/>
      </c>
      <c r="B2416" s="1" t="str">
        <f>"N421201"</f>
        <v>N421201</v>
      </c>
      <c r="C2416" s="1" t="str">
        <f>"간암표지자 양성"</f>
        <v>간암표지자 양성</v>
      </c>
      <c r="D2416" s="1" t="s">
        <v>743</v>
      </c>
      <c r="E2416" s="1" t="str">
        <f>""</f>
        <v/>
      </c>
      <c r="F2416" s="1" t="str">
        <f>""</f>
        <v/>
      </c>
      <c r="G2416" s="1" t="str">
        <f>""</f>
        <v/>
      </c>
      <c r="H2416" s="1" t="str">
        <f>""</f>
        <v/>
      </c>
      <c r="I2416" s="1" t="str">
        <f>""</f>
        <v/>
      </c>
      <c r="J2416" s="1" t="str">
        <f>""</f>
        <v/>
      </c>
      <c r="K2416" s="1" t="str">
        <f>""</f>
        <v/>
      </c>
      <c r="L2416" s="1" t="str">
        <f t="shared" si="671"/>
        <v>R</v>
      </c>
      <c r="M2416" s="1" t="str">
        <f>""</f>
        <v/>
      </c>
      <c r="N2416" s="1" t="str">
        <f t="shared" si="672"/>
        <v>Y</v>
      </c>
      <c r="O2416" s="1" t="str">
        <f t="shared" si="675"/>
        <v>Y</v>
      </c>
      <c r="P2416" s="1" t="str">
        <f t="shared" si="673"/>
        <v>Y</v>
      </c>
      <c r="Q2416" s="1" t="str">
        <f t="shared" si="676"/>
        <v>A</v>
      </c>
    </row>
    <row r="2417" spans="1:17" x14ac:dyDescent="0.3">
      <c r="A2417" s="1" t="str">
        <f>""</f>
        <v/>
      </c>
      <c r="B2417" s="1" t="str">
        <f>"SBM0110"</f>
        <v>SBM0110</v>
      </c>
      <c r="C2417" s="1" t="str">
        <f>"치밀유방"</f>
        <v>치밀유방</v>
      </c>
      <c r="D2417" s="1" t="s">
        <v>744</v>
      </c>
      <c r="E2417" s="1" t="str">
        <f>""</f>
        <v/>
      </c>
      <c r="F2417" s="1" t="str">
        <f>""</f>
        <v/>
      </c>
      <c r="G2417" s="1" t="str">
        <f>""</f>
        <v/>
      </c>
      <c r="H2417" s="1" t="str">
        <f>""</f>
        <v/>
      </c>
      <c r="I2417" s="1" t="str">
        <f>""</f>
        <v/>
      </c>
      <c r="J2417" s="1" t="str">
        <f>""</f>
        <v/>
      </c>
      <c r="K2417" s="1" t="str">
        <f>""</f>
        <v/>
      </c>
      <c r="L2417" s="1" t="str">
        <f t="shared" si="671"/>
        <v>R</v>
      </c>
      <c r="M2417" s="1" t="str">
        <f>""</f>
        <v/>
      </c>
      <c r="N2417" s="1" t="str">
        <f t="shared" si="672"/>
        <v>Y</v>
      </c>
      <c r="O2417" s="1" t="str">
        <f t="shared" si="675"/>
        <v>Y</v>
      </c>
      <c r="P2417" s="1" t="str">
        <f t="shared" si="673"/>
        <v>Y</v>
      </c>
      <c r="Q2417" s="1" t="str">
        <f t="shared" si="676"/>
        <v>A</v>
      </c>
    </row>
    <row r="2418" spans="1:17" x14ac:dyDescent="0.3">
      <c r="A2418" s="1" t="str">
        <f>""</f>
        <v/>
      </c>
      <c r="B2418" s="1" t="str">
        <f>"STU205DH1"</f>
        <v>STU205DH1</v>
      </c>
      <c r="C2418" s="1" t="str">
        <f>"경도비만"</f>
        <v>경도비만</v>
      </c>
      <c r="D2418" s="1" t="str">
        <f>"경도의 비만이 있습니다. 식사습관조절과 운동이 필요합니다."</f>
        <v>경도의 비만이 있습니다. 식사습관조절과 운동이 필요합니다.</v>
      </c>
      <c r="E2418" s="1" t="str">
        <f>""</f>
        <v/>
      </c>
      <c r="F2418" s="1" t="str">
        <f>""</f>
        <v/>
      </c>
      <c r="G2418" s="1" t="str">
        <f>""</f>
        <v/>
      </c>
      <c r="H2418" s="1" t="str">
        <f>""</f>
        <v/>
      </c>
      <c r="I2418" s="1" t="str">
        <f>""</f>
        <v/>
      </c>
      <c r="J2418" s="1" t="str">
        <f>""</f>
        <v/>
      </c>
      <c r="K2418" s="1" t="str">
        <f>""</f>
        <v/>
      </c>
      <c r="L2418" s="1" t="str">
        <f t="shared" si="671"/>
        <v>R</v>
      </c>
      <c r="M2418" s="1" t="str">
        <f>""</f>
        <v/>
      </c>
      <c r="N2418" s="1" t="str">
        <f>"N"</f>
        <v>N</v>
      </c>
      <c r="O2418" s="1" t="str">
        <f t="shared" si="675"/>
        <v>Y</v>
      </c>
      <c r="P2418" s="1" t="str">
        <f t="shared" si="673"/>
        <v>Y</v>
      </c>
      <c r="Q2418" s="1" t="str">
        <f t="shared" si="676"/>
        <v>A</v>
      </c>
    </row>
    <row r="2419" spans="1:17" x14ac:dyDescent="0.3">
      <c r="A2419" s="1" t="str">
        <f>""</f>
        <v/>
      </c>
      <c r="B2419" s="1" t="str">
        <f>"STU205DH2"</f>
        <v>STU205DH2</v>
      </c>
      <c r="C2419" s="1" t="str">
        <f>"중등도비만"</f>
        <v>중등도비만</v>
      </c>
      <c r="D2419" s="1" t="str">
        <f>"중등도의 비만이 있습니다. 식사습관조절과 운동이 필요합니다."</f>
        <v>중등도의 비만이 있습니다. 식사습관조절과 운동이 필요합니다.</v>
      </c>
      <c r="E2419" s="1" t="str">
        <f>""</f>
        <v/>
      </c>
      <c r="F2419" s="1" t="str">
        <f>""</f>
        <v/>
      </c>
      <c r="G2419" s="1" t="str">
        <f>""</f>
        <v/>
      </c>
      <c r="H2419" s="1" t="str">
        <f>""</f>
        <v/>
      </c>
      <c r="I2419" s="1" t="str">
        <f>""</f>
        <v/>
      </c>
      <c r="J2419" s="1" t="str">
        <f>""</f>
        <v/>
      </c>
      <c r="K2419" s="1" t="str">
        <f>""</f>
        <v/>
      </c>
      <c r="L2419" s="1" t="str">
        <f t="shared" si="671"/>
        <v>R</v>
      </c>
      <c r="M2419" s="1" t="str">
        <f>""</f>
        <v/>
      </c>
      <c r="N2419" s="1" t="str">
        <f>"N"</f>
        <v>N</v>
      </c>
      <c r="O2419" s="1" t="str">
        <f t="shared" si="675"/>
        <v>Y</v>
      </c>
      <c r="P2419" s="1" t="str">
        <f t="shared" si="673"/>
        <v>Y</v>
      </c>
      <c r="Q2419" s="1" t="str">
        <f t="shared" si="676"/>
        <v>A</v>
      </c>
    </row>
    <row r="2420" spans="1:17" x14ac:dyDescent="0.3">
      <c r="A2420" s="1" t="str">
        <f>""</f>
        <v/>
      </c>
      <c r="B2420" s="1" t="str">
        <f>"STU205DH3"</f>
        <v>STU205DH3</v>
      </c>
      <c r="C2420" s="1" t="str">
        <f>"고도비만"</f>
        <v>고도비만</v>
      </c>
      <c r="D2420" s="1" t="s">
        <v>745</v>
      </c>
      <c r="E2420" s="1" t="str">
        <f>""</f>
        <v/>
      </c>
      <c r="F2420" s="1" t="str">
        <f>""</f>
        <v/>
      </c>
      <c r="G2420" s="1" t="str">
        <f>""</f>
        <v/>
      </c>
      <c r="H2420" s="1" t="str">
        <f>""</f>
        <v/>
      </c>
      <c r="I2420" s="1" t="str">
        <f>""</f>
        <v/>
      </c>
      <c r="J2420" s="1" t="str">
        <f>""</f>
        <v/>
      </c>
      <c r="K2420" s="1" t="str">
        <f>""</f>
        <v/>
      </c>
      <c r="L2420" s="1" t="str">
        <f t="shared" si="671"/>
        <v>R</v>
      </c>
      <c r="M2420" s="1" t="str">
        <f>""</f>
        <v/>
      </c>
      <c r="N2420" s="1" t="str">
        <f>"N"</f>
        <v>N</v>
      </c>
      <c r="O2420" s="1" t="str">
        <f t="shared" si="675"/>
        <v>Y</v>
      </c>
      <c r="P2420" s="1" t="str">
        <f t="shared" si="673"/>
        <v>Y</v>
      </c>
      <c r="Q2420" s="1" t="str">
        <f t="shared" si="676"/>
        <v>A</v>
      </c>
    </row>
    <row r="2421" spans="1:17" x14ac:dyDescent="0.3">
      <c r="A2421" s="1" t="str">
        <f>""</f>
        <v/>
      </c>
      <c r="B2421" s="1" t="str">
        <f>"STU210"</f>
        <v>STU210</v>
      </c>
      <c r="C2421" s="1" t="str">
        <f>"적록색약"</f>
        <v>적록색약</v>
      </c>
      <c r="D2421" s="1" t="str">
        <f>"적록색약은 적색과 녹색에 대한 감수성이 감퇴된 상태로 유전성이며 의학적으로 치료되지 않습니다.일상생활에 지장은 없으나 필요한경우 교정렌즈를 사용할 수있습니다."</f>
        <v>적록색약은 적색과 녹색에 대한 감수성이 감퇴된 상태로 유전성이며 의학적으로 치료되지 않습니다.일상생활에 지장은 없으나 필요한경우 교정렌즈를 사용할 수있습니다.</v>
      </c>
      <c r="E2421" s="1" t="str">
        <f>""</f>
        <v/>
      </c>
      <c r="F2421" s="1" t="str">
        <f>""</f>
        <v/>
      </c>
      <c r="G2421" s="1" t="str">
        <f>""</f>
        <v/>
      </c>
      <c r="H2421" s="1" t="str">
        <f>""</f>
        <v/>
      </c>
      <c r="I2421" s="1" t="str">
        <f>""</f>
        <v/>
      </c>
      <c r="J2421" s="1" t="str">
        <f>""</f>
        <v/>
      </c>
      <c r="K2421" s="1" t="str">
        <f>""</f>
        <v/>
      </c>
      <c r="L2421" s="1" t="str">
        <f t="shared" si="671"/>
        <v>R</v>
      </c>
      <c r="M2421" s="1" t="str">
        <f>"T09"</f>
        <v>T09</v>
      </c>
      <c r="N2421" s="1" t="str">
        <f>"Y"</f>
        <v>Y</v>
      </c>
      <c r="O2421" s="1" t="str">
        <f t="shared" si="675"/>
        <v>Y</v>
      </c>
      <c r="P2421" s="1" t="str">
        <f t="shared" si="673"/>
        <v>Y</v>
      </c>
      <c r="Q2421" s="1" t="str">
        <f t="shared" si="676"/>
        <v>A</v>
      </c>
    </row>
    <row r="2422" spans="1:17" x14ac:dyDescent="0.3">
      <c r="A2422" s="1" t="str">
        <f>""</f>
        <v/>
      </c>
      <c r="B2422" s="1" t="str">
        <f>"SYPJA01"</f>
        <v>SYPJA01</v>
      </c>
      <c r="C2422" s="1" t="str">
        <f>"음성(매독침강반응)"</f>
        <v>음성(매독침강반응)</v>
      </c>
      <c r="D2422" s="1" t="str">
        <f>""</f>
        <v/>
      </c>
      <c r="E2422" s="1" t="str">
        <f>""</f>
        <v/>
      </c>
      <c r="F2422" s="1" t="str">
        <f>""</f>
        <v/>
      </c>
      <c r="G2422" s="1" t="str">
        <f>""</f>
        <v/>
      </c>
      <c r="H2422" s="1" t="str">
        <f>""</f>
        <v/>
      </c>
      <c r="I2422" s="1" t="str">
        <f>""</f>
        <v/>
      </c>
      <c r="J2422" s="1" t="str">
        <f>""</f>
        <v/>
      </c>
      <c r="K2422" s="1" t="str">
        <f>""</f>
        <v/>
      </c>
      <c r="L2422" s="1" t="str">
        <f t="shared" si="671"/>
        <v>R</v>
      </c>
      <c r="M2422" s="1" t="str">
        <f>""</f>
        <v/>
      </c>
      <c r="N2422" s="1" t="str">
        <f>"Y"</f>
        <v>Y</v>
      </c>
      <c r="O2422" s="1" t="str">
        <f t="shared" si="675"/>
        <v>Y</v>
      </c>
      <c r="P2422" s="1" t="str">
        <f t="shared" si="673"/>
        <v>Y</v>
      </c>
      <c r="Q2422" s="1" t="str">
        <f t="shared" si="676"/>
        <v>A</v>
      </c>
    </row>
    <row r="2423" spans="1:17" x14ac:dyDescent="0.3">
      <c r="A2423" s="1" t="str">
        <f>""</f>
        <v/>
      </c>
      <c r="B2423" s="1" t="str">
        <f>"UPH1"</f>
        <v>UPH1</v>
      </c>
      <c r="C2423" s="1" t="str">
        <f>"요산성도 상승"</f>
        <v>요산성도 상승</v>
      </c>
      <c r="D2423" s="1" t="s">
        <v>746</v>
      </c>
      <c r="E2423" s="1" t="str">
        <f>""</f>
        <v/>
      </c>
      <c r="F2423" s="1" t="str">
        <f>""</f>
        <v/>
      </c>
      <c r="G2423" s="1" t="str">
        <f>""</f>
        <v/>
      </c>
      <c r="H2423" s="1" t="str">
        <f>""</f>
        <v/>
      </c>
      <c r="I2423" s="1" t="str">
        <f>""</f>
        <v/>
      </c>
      <c r="J2423" s="1" t="str">
        <f>""</f>
        <v/>
      </c>
      <c r="K2423" s="1" t="str">
        <f>""</f>
        <v/>
      </c>
      <c r="L2423" s="1" t="str">
        <f t="shared" si="671"/>
        <v>R</v>
      </c>
      <c r="M2423" s="1" t="str">
        <f>""</f>
        <v/>
      </c>
      <c r="N2423" s="1" t="str">
        <f>"Y"</f>
        <v>Y</v>
      </c>
      <c r="O2423" s="1" t="str">
        <f t="shared" si="675"/>
        <v>Y</v>
      </c>
      <c r="P2423" s="1" t="str">
        <f t="shared" si="673"/>
        <v>Y</v>
      </c>
      <c r="Q2423" s="1" t="str">
        <f t="shared" si="676"/>
        <v>A</v>
      </c>
    </row>
    <row r="2424" spans="1:17" x14ac:dyDescent="0.3">
      <c r="A2424" s="1" t="str">
        <f>""</f>
        <v/>
      </c>
      <c r="B2424" s="1" t="str">
        <f>"UPH2"</f>
        <v>UPH2</v>
      </c>
      <c r="C2424" s="1" t="str">
        <f>"요산성도 감소"</f>
        <v>요산성도 감소</v>
      </c>
      <c r="D2424" s="1" t="s">
        <v>747</v>
      </c>
      <c r="E2424" s="1" t="str">
        <f>""</f>
        <v/>
      </c>
      <c r="F2424" s="1" t="str">
        <f>""</f>
        <v/>
      </c>
      <c r="G2424" s="1" t="str">
        <f>""</f>
        <v/>
      </c>
      <c r="H2424" s="1" t="str">
        <f>""</f>
        <v/>
      </c>
      <c r="I2424" s="1" t="str">
        <f>""</f>
        <v/>
      </c>
      <c r="J2424" s="1" t="str">
        <f>""</f>
        <v/>
      </c>
      <c r="K2424" s="1" t="str">
        <f>""</f>
        <v/>
      </c>
      <c r="L2424" s="1" t="str">
        <f t="shared" si="671"/>
        <v>R</v>
      </c>
      <c r="M2424" s="1" t="str">
        <f>""</f>
        <v/>
      </c>
      <c r="N2424" s="1" t="str">
        <f>"Y"</f>
        <v>Y</v>
      </c>
      <c r="O2424" s="1" t="str">
        <f t="shared" si="675"/>
        <v>Y</v>
      </c>
      <c r="P2424" s="1" t="str">
        <f t="shared" si="673"/>
        <v>Y</v>
      </c>
      <c r="Q2424" s="1" t="str">
        <f t="shared" si="676"/>
        <v>A</v>
      </c>
    </row>
  </sheetData>
  <phoneticPr fontId="19" type="noConversion"/>
  <pageMargins left="0.7" right="0.7" top="0.75" bottom="0.75" header="0.3" footer="0.3"/>
  <pageSetup paperSize="9" orientation="portrait" horizontalDpi="200" verticalDpi="20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SQLT0002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hws</dc:creator>
  <cp:lastModifiedBy>hws</cp:lastModifiedBy>
  <dcterms:created xsi:type="dcterms:W3CDTF">2026-04-13T13:21:15Z</dcterms:created>
  <dcterms:modified xsi:type="dcterms:W3CDTF">2026-04-13T13:21:16Z</dcterms:modified>
</cp:coreProperties>
</file>