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27975" windowHeight="12510"/>
  </bookViews>
  <sheets>
    <sheet name="SQLT0011" sheetId="1" r:id="rId1"/>
  </sheets>
  <definedNames>
    <definedName name="_xlnm._FilterDatabase" localSheetId="0" hidden="1">SQLT0011!$A$1:$L$168</definedName>
  </definedNames>
  <calcPr calcId="0"/>
</workbook>
</file>

<file path=xl/calcChain.xml><?xml version="1.0" encoding="utf-8"?>
<calcChain xmlns="http://schemas.openxmlformats.org/spreadsheetml/2006/main">
  <c r="I19" i="1"/>
  <c r="I20"/>
  <c r="E149"/>
  <c r="E148"/>
  <c r="E147"/>
  <c r="E146"/>
  <c r="E145"/>
  <c r="E144"/>
  <c r="E143"/>
  <c r="E142"/>
  <c r="E141"/>
  <c r="E140"/>
  <c r="E139"/>
  <c r="E138"/>
  <c r="E137"/>
  <c r="E136"/>
  <c r="E135"/>
  <c r="E134"/>
  <c r="E133"/>
  <c r="E132"/>
  <c r="E131"/>
  <c r="E130"/>
  <c r="E129"/>
  <c r="E128"/>
  <c r="E127"/>
  <c r="E126"/>
  <c r="E125"/>
  <c r="E124"/>
  <c r="E123"/>
  <c r="E122"/>
  <c r="E121"/>
  <c r="E120"/>
  <c r="E119"/>
  <c r="E118"/>
  <c r="E117"/>
  <c r="E116"/>
  <c r="E115"/>
  <c r="E114"/>
  <c r="E113"/>
  <c r="E112"/>
  <c r="E111"/>
  <c r="E110"/>
  <c r="E109"/>
  <c r="E108"/>
  <c r="E107"/>
  <c r="E106"/>
  <c r="E105"/>
  <c r="E104"/>
  <c r="E103"/>
  <c r="E102"/>
  <c r="E99"/>
  <c r="E98"/>
  <c r="E97"/>
  <c r="E96"/>
  <c r="E95"/>
  <c r="E94"/>
  <c r="E93"/>
  <c r="E92"/>
  <c r="E91"/>
  <c r="E90"/>
  <c r="E89"/>
  <c r="E88"/>
  <c r="E87"/>
  <c r="E86"/>
  <c r="E85"/>
  <c r="E84"/>
  <c r="E83"/>
  <c r="E82"/>
  <c r="E80"/>
  <c r="E79"/>
  <c r="E77"/>
  <c r="E76"/>
  <c r="E75"/>
  <c r="E74"/>
  <c r="E73"/>
  <c r="E72"/>
  <c r="E71"/>
  <c r="E70"/>
  <c r="E69"/>
  <c r="E68"/>
  <c r="E67"/>
  <c r="E66"/>
  <c r="E65"/>
  <c r="E64"/>
  <c r="E63"/>
  <c r="E62"/>
  <c r="E61"/>
  <c r="E60"/>
  <c r="E59"/>
  <c r="E58"/>
  <c r="E56"/>
  <c r="E55"/>
  <c r="E39"/>
  <c r="E38"/>
  <c r="E37"/>
  <c r="E36"/>
  <c r="E35"/>
  <c r="E34"/>
  <c r="E33"/>
  <c r="E32"/>
  <c r="E31"/>
  <c r="E30"/>
  <c r="E29"/>
  <c r="E28"/>
  <c r="E26"/>
  <c r="E25"/>
  <c r="E24"/>
  <c r="E23"/>
  <c r="E22"/>
  <c r="E21"/>
  <c r="E17"/>
  <c r="E16"/>
  <c r="E15"/>
  <c r="E14"/>
  <c r="E13"/>
  <c r="E12"/>
  <c r="E11"/>
  <c r="E10"/>
  <c r="E9"/>
  <c r="E8"/>
  <c r="E7"/>
  <c r="E6"/>
  <c r="E5"/>
  <c r="E4"/>
  <c r="E3"/>
  <c r="E2"/>
  <c r="C168"/>
  <c r="L1"/>
  <c r="L2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E1"/>
  <c r="B2"/>
  <c r="D2"/>
  <c r="F2"/>
  <c r="G2"/>
  <c r="H2"/>
  <c r="I2"/>
  <c r="J2"/>
  <c r="K2"/>
  <c r="B3"/>
  <c r="D3"/>
  <c r="F3"/>
  <c r="G3"/>
  <c r="H3"/>
  <c r="I3"/>
  <c r="J3"/>
  <c r="K3"/>
  <c r="B4"/>
  <c r="D4"/>
  <c r="F4"/>
  <c r="G4"/>
  <c r="H4"/>
  <c r="I4"/>
  <c r="J4"/>
  <c r="K4"/>
  <c r="B5"/>
  <c r="D5"/>
  <c r="F5"/>
  <c r="G5"/>
  <c r="H5"/>
  <c r="I5"/>
  <c r="J5"/>
  <c r="K5"/>
  <c r="B6"/>
  <c r="D6"/>
  <c r="F6"/>
  <c r="G6"/>
  <c r="H6"/>
  <c r="I6"/>
  <c r="J6"/>
  <c r="K6"/>
  <c r="B7"/>
  <c r="D7"/>
  <c r="F7"/>
  <c r="G7"/>
  <c r="H7"/>
  <c r="I7"/>
  <c r="J7"/>
  <c r="K7"/>
  <c r="B8"/>
  <c r="D8"/>
  <c r="F8"/>
  <c r="G8"/>
  <c r="H8"/>
  <c r="I8"/>
  <c r="J8"/>
  <c r="K8"/>
  <c r="B9"/>
  <c r="D9"/>
  <c r="F9"/>
  <c r="G9"/>
  <c r="H9"/>
  <c r="I9"/>
  <c r="J9"/>
  <c r="K9"/>
  <c r="B10"/>
  <c r="D10"/>
  <c r="F10"/>
  <c r="G10"/>
  <c r="H10"/>
  <c r="I10"/>
  <c r="J10"/>
  <c r="K10"/>
  <c r="B11"/>
  <c r="D11"/>
  <c r="F11"/>
  <c r="G11"/>
  <c r="H11"/>
  <c r="I11"/>
  <c r="J11"/>
  <c r="K11"/>
  <c r="B12"/>
  <c r="D12"/>
  <c r="F12"/>
  <c r="G12"/>
  <c r="H12"/>
  <c r="I12"/>
  <c r="J12"/>
  <c r="K12"/>
  <c r="B13"/>
  <c r="D13"/>
  <c r="F13"/>
  <c r="G13"/>
  <c r="H13"/>
  <c r="I13"/>
  <c r="J13"/>
  <c r="K13"/>
  <c r="B14"/>
  <c r="D14"/>
  <c r="F14"/>
  <c r="G14"/>
  <c r="H14"/>
  <c r="I14"/>
  <c r="J14"/>
  <c r="K14"/>
  <c r="B15"/>
  <c r="D15"/>
  <c r="F15"/>
  <c r="G15"/>
  <c r="H15"/>
  <c r="I15"/>
  <c r="J15"/>
  <c r="K15"/>
  <c r="B16"/>
  <c r="D16"/>
  <c r="F16"/>
  <c r="G16"/>
  <c r="H16"/>
  <c r="I16"/>
  <c r="J16"/>
  <c r="K16"/>
  <c r="B17"/>
  <c r="D17"/>
  <c r="F17"/>
  <c r="G17"/>
  <c r="H17"/>
  <c r="I17"/>
  <c r="J17"/>
  <c r="K17"/>
  <c r="B18"/>
  <c r="D18"/>
  <c r="E18"/>
  <c r="F18"/>
  <c r="G18"/>
  <c r="H18"/>
  <c r="I18"/>
  <c r="J18"/>
  <c r="K18"/>
  <c r="B19"/>
  <c r="D19"/>
  <c r="E19"/>
  <c r="F19"/>
  <c r="G19"/>
  <c r="H19"/>
  <c r="J19"/>
  <c r="K19"/>
  <c r="B20"/>
  <c r="D20"/>
  <c r="E20"/>
  <c r="F20"/>
  <c r="G20"/>
  <c r="H20"/>
  <c r="J20"/>
  <c r="K20"/>
  <c r="B21"/>
  <c r="D21"/>
  <c r="F21"/>
  <c r="G21"/>
  <c r="H21"/>
  <c r="I21"/>
  <c r="J21"/>
  <c r="K21"/>
  <c r="B22"/>
  <c r="D22"/>
  <c r="F22"/>
  <c r="G22"/>
  <c r="H22"/>
  <c r="I22"/>
  <c r="J22"/>
  <c r="K22"/>
  <c r="B23"/>
  <c r="D23"/>
  <c r="F23"/>
  <c r="G23"/>
  <c r="H23"/>
  <c r="I23"/>
  <c r="J23"/>
  <c r="K23"/>
  <c r="B24"/>
  <c r="D24"/>
  <c r="F24"/>
  <c r="G24"/>
  <c r="H24"/>
  <c r="I24"/>
  <c r="J24"/>
  <c r="K24"/>
  <c r="B25"/>
  <c r="D25"/>
  <c r="F25"/>
  <c r="G25"/>
  <c r="H25"/>
  <c r="I25"/>
  <c r="J25"/>
  <c r="K25"/>
  <c r="B26"/>
  <c r="D26"/>
  <c r="F26"/>
  <c r="G26"/>
  <c r="H26"/>
  <c r="I26"/>
  <c r="J26"/>
  <c r="K26"/>
  <c r="B27"/>
  <c r="D27"/>
  <c r="E27"/>
  <c r="F27"/>
  <c r="G27"/>
  <c r="H27"/>
  <c r="I27"/>
  <c r="J27"/>
  <c r="K27"/>
  <c r="B28"/>
  <c r="D28"/>
  <c r="F28"/>
  <c r="G28"/>
  <c r="H28"/>
  <c r="I28"/>
  <c r="J28"/>
  <c r="K28"/>
  <c r="B29"/>
  <c r="D29"/>
  <c r="F29"/>
  <c r="G29"/>
  <c r="H29"/>
  <c r="I29"/>
  <c r="J29"/>
  <c r="K29"/>
  <c r="B30"/>
  <c r="D30"/>
  <c r="F30"/>
  <c r="G30"/>
  <c r="H30"/>
  <c r="I30"/>
  <c r="J30"/>
  <c r="K30"/>
  <c r="B31"/>
  <c r="D31"/>
  <c r="F31"/>
  <c r="G31"/>
  <c r="H31"/>
  <c r="I31"/>
  <c r="J31"/>
  <c r="K31"/>
  <c r="B32"/>
  <c r="D32"/>
  <c r="F32"/>
  <c r="G32"/>
  <c r="H32"/>
  <c r="I32"/>
  <c r="J32"/>
  <c r="K32"/>
  <c r="B33"/>
  <c r="D33"/>
  <c r="F33"/>
  <c r="G33"/>
  <c r="H33"/>
  <c r="I33"/>
  <c r="J33"/>
  <c r="K33"/>
  <c r="B34"/>
  <c r="D34"/>
  <c r="F34"/>
  <c r="G34"/>
  <c r="H34"/>
  <c r="I34"/>
  <c r="J34"/>
  <c r="K34"/>
  <c r="B35"/>
  <c r="D35"/>
  <c r="F35"/>
  <c r="G35"/>
  <c r="H35"/>
  <c r="I35"/>
  <c r="J35"/>
  <c r="K35"/>
  <c r="B36"/>
  <c r="D36"/>
  <c r="F36"/>
  <c r="G36"/>
  <c r="H36"/>
  <c r="I36"/>
  <c r="J36"/>
  <c r="K36"/>
  <c r="B37"/>
  <c r="D37"/>
  <c r="F37"/>
  <c r="G37"/>
  <c r="H37"/>
  <c r="I37"/>
  <c r="J37"/>
  <c r="K37"/>
  <c r="B38"/>
  <c r="D38"/>
  <c r="F38"/>
  <c r="G38"/>
  <c r="H38"/>
  <c r="I38"/>
  <c r="J38"/>
  <c r="K38"/>
  <c r="B39"/>
  <c r="D39"/>
  <c r="F39"/>
  <c r="G39"/>
  <c r="H39"/>
  <c r="I39"/>
  <c r="J39"/>
  <c r="K39"/>
  <c r="B40"/>
  <c r="D40"/>
  <c r="E40"/>
  <c r="F40"/>
  <c r="G40"/>
  <c r="H40"/>
  <c r="I40"/>
  <c r="J40"/>
  <c r="K40"/>
  <c r="B41"/>
  <c r="D41"/>
  <c r="E41"/>
  <c r="F41"/>
  <c r="G41"/>
  <c r="H41"/>
  <c r="I41"/>
  <c r="J41"/>
  <c r="K41"/>
  <c r="B42"/>
  <c r="D42"/>
  <c r="E42"/>
  <c r="F42"/>
  <c r="G42"/>
  <c r="H42"/>
  <c r="I42"/>
  <c r="J42"/>
  <c r="K42"/>
  <c r="B43"/>
  <c r="D43"/>
  <c r="E43"/>
  <c r="F43"/>
  <c r="G43"/>
  <c r="H43"/>
  <c r="I43"/>
  <c r="J43"/>
  <c r="K43"/>
  <c r="B44"/>
  <c r="D44"/>
  <c r="E44"/>
  <c r="F44"/>
  <c r="G44"/>
  <c r="H44"/>
  <c r="I44"/>
  <c r="J44"/>
  <c r="K44"/>
  <c r="B45"/>
  <c r="D45"/>
  <c r="E45"/>
  <c r="F45"/>
  <c r="G45"/>
  <c r="H45"/>
  <c r="I45"/>
  <c r="J45"/>
  <c r="K45"/>
  <c r="B46"/>
  <c r="D46"/>
  <c r="E46"/>
  <c r="F46"/>
  <c r="G46"/>
  <c r="H46"/>
  <c r="I46"/>
  <c r="J46"/>
  <c r="K46"/>
  <c r="B47"/>
  <c r="D47"/>
  <c r="E47"/>
  <c r="F47"/>
  <c r="G47"/>
  <c r="H47"/>
  <c r="I47"/>
  <c r="J47"/>
  <c r="K47"/>
  <c r="B48"/>
  <c r="D48"/>
  <c r="E48"/>
  <c r="F48"/>
  <c r="G48"/>
  <c r="H48"/>
  <c r="I48"/>
  <c r="J48"/>
  <c r="K48"/>
  <c r="B49"/>
  <c r="D49"/>
  <c r="E49"/>
  <c r="F49"/>
  <c r="G49"/>
  <c r="H49"/>
  <c r="I49"/>
  <c r="J49"/>
  <c r="K49"/>
  <c r="B50"/>
  <c r="D50"/>
  <c r="E50"/>
  <c r="F50"/>
  <c r="G50"/>
  <c r="H50"/>
  <c r="I50"/>
  <c r="J50"/>
  <c r="K50"/>
  <c r="B51"/>
  <c r="D51"/>
  <c r="E51"/>
  <c r="F51"/>
  <c r="G51"/>
  <c r="H51"/>
  <c r="I51"/>
  <c r="J51"/>
  <c r="K51"/>
  <c r="B52"/>
  <c r="D52"/>
  <c r="E52"/>
  <c r="F52"/>
  <c r="G52"/>
  <c r="H52"/>
  <c r="I52"/>
  <c r="J52"/>
  <c r="K52"/>
  <c r="B53"/>
  <c r="D53"/>
  <c r="E53"/>
  <c r="F53"/>
  <c r="G53"/>
  <c r="H53"/>
  <c r="I53"/>
  <c r="J53"/>
  <c r="K53"/>
  <c r="B54"/>
  <c r="D54"/>
  <c r="E54"/>
  <c r="F54"/>
  <c r="G54"/>
  <c r="H54"/>
  <c r="I54"/>
  <c r="J54"/>
  <c r="K54"/>
  <c r="B55"/>
  <c r="D55"/>
  <c r="F55"/>
  <c r="G55"/>
  <c r="H55"/>
  <c r="I55"/>
  <c r="J55"/>
  <c r="K55"/>
  <c r="B56"/>
  <c r="D56"/>
  <c r="F56"/>
  <c r="G56"/>
  <c r="H56"/>
  <c r="I56"/>
  <c r="J56"/>
  <c r="K56"/>
  <c r="B57"/>
  <c r="D57"/>
  <c r="E57"/>
  <c r="F57"/>
  <c r="G57"/>
  <c r="H57"/>
  <c r="I57"/>
  <c r="J57"/>
  <c r="K57"/>
  <c r="B58"/>
  <c r="D58"/>
  <c r="F58"/>
  <c r="G58"/>
  <c r="H58"/>
  <c r="I58"/>
  <c r="J58"/>
  <c r="K58"/>
  <c r="B59"/>
  <c r="D59"/>
  <c r="F59"/>
  <c r="G59"/>
  <c r="H59"/>
  <c r="I59"/>
  <c r="J59"/>
  <c r="K59"/>
  <c r="B60"/>
  <c r="D60"/>
  <c r="F60"/>
  <c r="G60"/>
  <c r="H60"/>
  <c r="I60"/>
  <c r="J60"/>
  <c r="K60"/>
  <c r="B61"/>
  <c r="D61"/>
  <c r="F61"/>
  <c r="G61"/>
  <c r="H61"/>
  <c r="I61"/>
  <c r="J61"/>
  <c r="K61"/>
  <c r="B62"/>
  <c r="D62"/>
  <c r="F62"/>
  <c r="G62"/>
  <c r="H62"/>
  <c r="I62"/>
  <c r="J62"/>
  <c r="K62"/>
  <c r="B63"/>
  <c r="D63"/>
  <c r="F63"/>
  <c r="G63"/>
  <c r="H63"/>
  <c r="I63"/>
  <c r="J63"/>
  <c r="K63"/>
  <c r="B64"/>
  <c r="D64"/>
  <c r="F64"/>
  <c r="G64"/>
  <c r="H64"/>
  <c r="I64"/>
  <c r="J64"/>
  <c r="K64"/>
  <c r="B65"/>
  <c r="D65"/>
  <c r="F65"/>
  <c r="G65"/>
  <c r="H65"/>
  <c r="I65"/>
  <c r="J65"/>
  <c r="K65"/>
  <c r="B66"/>
  <c r="D66"/>
  <c r="F66"/>
  <c r="G66"/>
  <c r="H66"/>
  <c r="I66"/>
  <c r="J66"/>
  <c r="K66"/>
  <c r="B67"/>
  <c r="D67"/>
  <c r="F67"/>
  <c r="G67"/>
  <c r="H67"/>
  <c r="I67"/>
  <c r="J67"/>
  <c r="K67"/>
  <c r="B68"/>
  <c r="D68"/>
  <c r="F68"/>
  <c r="G68"/>
  <c r="H68"/>
  <c r="I68"/>
  <c r="J68"/>
  <c r="K68"/>
  <c r="B69"/>
  <c r="D69"/>
  <c r="F69"/>
  <c r="G69"/>
  <c r="H69"/>
  <c r="I69"/>
  <c r="J69"/>
  <c r="K69"/>
  <c r="B70"/>
  <c r="D70"/>
  <c r="F70"/>
  <c r="G70"/>
  <c r="H70"/>
  <c r="I70"/>
  <c r="J70"/>
  <c r="K70"/>
  <c r="B71"/>
  <c r="D71"/>
  <c r="F71"/>
  <c r="G71"/>
  <c r="H71"/>
  <c r="I71"/>
  <c r="J71"/>
  <c r="K71"/>
  <c r="B72"/>
  <c r="D72"/>
  <c r="F72"/>
  <c r="G72"/>
  <c r="H72"/>
  <c r="I72"/>
  <c r="J72"/>
  <c r="K72"/>
  <c r="B73"/>
  <c r="D73"/>
  <c r="F73"/>
  <c r="G73"/>
  <c r="H73"/>
  <c r="I73"/>
  <c r="J73"/>
  <c r="K73"/>
  <c r="B74"/>
  <c r="D74"/>
  <c r="F74"/>
  <c r="G74"/>
  <c r="H74"/>
  <c r="I74"/>
  <c r="J74"/>
  <c r="K74"/>
  <c r="B75"/>
  <c r="D75"/>
  <c r="F75"/>
  <c r="G75"/>
  <c r="H75"/>
  <c r="I75"/>
  <c r="J75"/>
  <c r="K75"/>
  <c r="B76"/>
  <c r="D76"/>
  <c r="F76"/>
  <c r="G76"/>
  <c r="H76"/>
  <c r="I76"/>
  <c r="J76"/>
  <c r="K76"/>
  <c r="B77"/>
  <c r="D77"/>
  <c r="F77"/>
  <c r="G77"/>
  <c r="H77"/>
  <c r="I77"/>
  <c r="J77"/>
  <c r="K77"/>
  <c r="B78"/>
  <c r="D78"/>
  <c r="E78"/>
  <c r="F78"/>
  <c r="G78"/>
  <c r="H78"/>
  <c r="I78"/>
  <c r="J78"/>
  <c r="K78"/>
  <c r="B79"/>
  <c r="D79"/>
  <c r="F79"/>
  <c r="G79"/>
  <c r="H79"/>
  <c r="I79"/>
  <c r="J79"/>
  <c r="K79"/>
  <c r="B80"/>
  <c r="D80"/>
  <c r="F80"/>
  <c r="G80"/>
  <c r="H80"/>
  <c r="I80"/>
  <c r="J80"/>
  <c r="K80"/>
  <c r="B81"/>
  <c r="D81"/>
  <c r="E81"/>
  <c r="F81"/>
  <c r="G81"/>
  <c r="H81"/>
  <c r="I81"/>
  <c r="J81"/>
  <c r="K81"/>
  <c r="B82"/>
  <c r="D82"/>
  <c r="F82"/>
  <c r="G82"/>
  <c r="H82"/>
  <c r="I82"/>
  <c r="J82"/>
  <c r="K82"/>
  <c r="B83"/>
  <c r="D83"/>
  <c r="F83"/>
  <c r="G83"/>
  <c r="H83"/>
  <c r="I83"/>
  <c r="J83"/>
  <c r="K83"/>
  <c r="B84"/>
  <c r="D84"/>
  <c r="F84"/>
  <c r="G84"/>
  <c r="H84"/>
  <c r="I84"/>
  <c r="J84"/>
  <c r="K84"/>
  <c r="B85"/>
  <c r="D85"/>
  <c r="F85"/>
  <c r="G85"/>
  <c r="H85"/>
  <c r="I85"/>
  <c r="J85"/>
  <c r="K85"/>
  <c r="B86"/>
  <c r="D86"/>
  <c r="F86"/>
  <c r="G86"/>
  <c r="H86"/>
  <c r="I86"/>
  <c r="J86"/>
  <c r="K86"/>
  <c r="B87"/>
  <c r="D87"/>
  <c r="F87"/>
  <c r="G87"/>
  <c r="H87"/>
  <c r="I87"/>
  <c r="J87"/>
  <c r="K87"/>
  <c r="B88"/>
  <c r="D88"/>
  <c r="F88"/>
  <c r="G88"/>
  <c r="H88"/>
  <c r="I88"/>
  <c r="J88"/>
  <c r="K88"/>
  <c r="B89"/>
  <c r="D89"/>
  <c r="F89"/>
  <c r="G89"/>
  <c r="H89"/>
  <c r="I89"/>
  <c r="J89"/>
  <c r="K89"/>
  <c r="B90"/>
  <c r="D90"/>
  <c r="F90"/>
  <c r="G90"/>
  <c r="H90"/>
  <c r="I90"/>
  <c r="J90"/>
  <c r="K90"/>
  <c r="B91"/>
  <c r="D91"/>
  <c r="F91"/>
  <c r="G91"/>
  <c r="H91"/>
  <c r="I91"/>
  <c r="J91"/>
  <c r="K91"/>
  <c r="B92"/>
  <c r="D92"/>
  <c r="F92"/>
  <c r="G92"/>
  <c r="H92"/>
  <c r="I92"/>
  <c r="J92"/>
  <c r="K92"/>
  <c r="B93"/>
  <c r="D93"/>
  <c r="F93"/>
  <c r="G93"/>
  <c r="H93"/>
  <c r="I93"/>
  <c r="J93"/>
  <c r="K93"/>
  <c r="B94"/>
  <c r="D94"/>
  <c r="F94"/>
  <c r="G94"/>
  <c r="H94"/>
  <c r="I94"/>
  <c r="J94"/>
  <c r="K94"/>
  <c r="B95"/>
  <c r="D95"/>
  <c r="F95"/>
  <c r="G95"/>
  <c r="H95"/>
  <c r="I95"/>
  <c r="J95"/>
  <c r="K95"/>
  <c r="B96"/>
  <c r="D96"/>
  <c r="F96"/>
  <c r="G96"/>
  <c r="H96"/>
  <c r="I96"/>
  <c r="J96"/>
  <c r="K96"/>
  <c r="B97"/>
  <c r="D97"/>
  <c r="F97"/>
  <c r="G97"/>
  <c r="H97"/>
  <c r="I97"/>
  <c r="J97"/>
  <c r="K97"/>
  <c r="B98"/>
  <c r="D98"/>
  <c r="F98"/>
  <c r="G98"/>
  <c r="H98"/>
  <c r="I98"/>
  <c r="J98"/>
  <c r="K98"/>
  <c r="B99"/>
  <c r="D99"/>
  <c r="F99"/>
  <c r="G99"/>
  <c r="H99"/>
  <c r="I99"/>
  <c r="J99"/>
  <c r="K99"/>
  <c r="B100"/>
  <c r="D100"/>
  <c r="E100"/>
  <c r="F100"/>
  <c r="G100"/>
  <c r="H100"/>
  <c r="I100"/>
  <c r="J100"/>
  <c r="K100"/>
  <c r="B101"/>
  <c r="D101"/>
  <c r="E101"/>
  <c r="F101"/>
  <c r="G101"/>
  <c r="H101"/>
  <c r="I101"/>
  <c r="J101"/>
  <c r="K101"/>
  <c r="B102"/>
  <c r="D102"/>
  <c r="F102"/>
  <c r="G102"/>
  <c r="H102"/>
  <c r="I102"/>
  <c r="J102"/>
  <c r="K102"/>
  <c r="B103"/>
  <c r="D103"/>
  <c r="F103"/>
  <c r="G103"/>
  <c r="H103"/>
  <c r="I103"/>
  <c r="J103"/>
  <c r="K103"/>
  <c r="B104"/>
  <c r="D104"/>
  <c r="F104"/>
  <c r="G104"/>
  <c r="H104"/>
  <c r="I104"/>
  <c r="J104"/>
  <c r="K104"/>
  <c r="B105"/>
  <c r="D105"/>
  <c r="F105"/>
  <c r="G105"/>
  <c r="H105"/>
  <c r="I105"/>
  <c r="J105"/>
  <c r="K105"/>
  <c r="B106"/>
  <c r="D106"/>
  <c r="F106"/>
  <c r="G106"/>
  <c r="H106"/>
  <c r="I106"/>
  <c r="J106"/>
  <c r="K106"/>
  <c r="B107"/>
  <c r="D107"/>
  <c r="F107"/>
  <c r="G107"/>
  <c r="H107"/>
  <c r="I107"/>
  <c r="J107"/>
  <c r="K107"/>
  <c r="B108"/>
  <c r="D108"/>
  <c r="F108"/>
  <c r="G108"/>
  <c r="H108"/>
  <c r="I108"/>
  <c r="J108"/>
  <c r="K108"/>
  <c r="B109"/>
  <c r="D109"/>
  <c r="F109"/>
  <c r="G109"/>
  <c r="H109"/>
  <c r="I109"/>
  <c r="J109"/>
  <c r="K109"/>
  <c r="B110"/>
  <c r="D110"/>
  <c r="F110"/>
  <c r="G110"/>
  <c r="H110"/>
  <c r="I110"/>
  <c r="J110"/>
  <c r="K110"/>
  <c r="B111"/>
  <c r="D111"/>
  <c r="F111"/>
  <c r="G111"/>
  <c r="H111"/>
  <c r="I111"/>
  <c r="J111"/>
  <c r="K111"/>
  <c r="B112"/>
  <c r="D112"/>
  <c r="F112"/>
  <c r="G112"/>
  <c r="H112"/>
  <c r="I112"/>
  <c r="J112"/>
  <c r="K112"/>
  <c r="B113"/>
  <c r="D113"/>
  <c r="F113"/>
  <c r="G113"/>
  <c r="H113"/>
  <c r="I113"/>
  <c r="J113"/>
  <c r="K113"/>
  <c r="B114"/>
  <c r="D114"/>
  <c r="F114"/>
  <c r="G114"/>
  <c r="H114"/>
  <c r="I114"/>
  <c r="J114"/>
  <c r="K114"/>
  <c r="B115"/>
  <c r="D115"/>
  <c r="F115"/>
  <c r="G115"/>
  <c r="H115"/>
  <c r="I115"/>
  <c r="J115"/>
  <c r="K115"/>
  <c r="B116"/>
  <c r="D116"/>
  <c r="F116"/>
  <c r="G116"/>
  <c r="H116"/>
  <c r="I116"/>
  <c r="J116"/>
  <c r="K116"/>
  <c r="B117"/>
  <c r="D117"/>
  <c r="F117"/>
  <c r="G117"/>
  <c r="H117"/>
  <c r="I117"/>
  <c r="J117"/>
  <c r="K117"/>
  <c r="B118"/>
  <c r="D118"/>
  <c r="F118"/>
  <c r="G118"/>
  <c r="H118"/>
  <c r="I118"/>
  <c r="J118"/>
  <c r="K118"/>
  <c r="B119"/>
  <c r="D119"/>
  <c r="F119"/>
  <c r="G119"/>
  <c r="H119"/>
  <c r="I119"/>
  <c r="J119"/>
  <c r="K119"/>
  <c r="B120"/>
  <c r="D120"/>
  <c r="F120"/>
  <c r="G120"/>
  <c r="H120"/>
  <c r="I120"/>
  <c r="J120"/>
  <c r="K120"/>
  <c r="B121"/>
  <c r="D121"/>
  <c r="F121"/>
  <c r="G121"/>
  <c r="H121"/>
  <c r="I121"/>
  <c r="J121"/>
  <c r="K121"/>
  <c r="B122"/>
  <c r="D122"/>
  <c r="F122"/>
  <c r="G122"/>
  <c r="H122"/>
  <c r="I122"/>
  <c r="J122"/>
  <c r="K122"/>
  <c r="B123"/>
  <c r="D123"/>
  <c r="F123"/>
  <c r="G123"/>
  <c r="H123"/>
  <c r="I123"/>
  <c r="J123"/>
  <c r="K123"/>
  <c r="B124"/>
  <c r="D124"/>
  <c r="F124"/>
  <c r="G124"/>
  <c r="H124"/>
  <c r="I124"/>
  <c r="J124"/>
  <c r="K124"/>
  <c r="B125"/>
  <c r="D125"/>
  <c r="F125"/>
  <c r="G125"/>
  <c r="H125"/>
  <c r="I125"/>
  <c r="J125"/>
  <c r="K125"/>
  <c r="B126"/>
  <c r="D126"/>
  <c r="F126"/>
  <c r="G126"/>
  <c r="H126"/>
  <c r="I126"/>
  <c r="J126"/>
  <c r="K126"/>
  <c r="B127"/>
  <c r="D127"/>
  <c r="F127"/>
  <c r="G127"/>
  <c r="H127"/>
  <c r="I127"/>
  <c r="J127"/>
  <c r="K127"/>
  <c r="B128"/>
  <c r="D128"/>
  <c r="F128"/>
  <c r="G128"/>
  <c r="H128"/>
  <c r="I128"/>
  <c r="J128"/>
  <c r="K128"/>
  <c r="B129"/>
  <c r="D129"/>
  <c r="F129"/>
  <c r="G129"/>
  <c r="H129"/>
  <c r="I129"/>
  <c r="J129"/>
  <c r="K129"/>
  <c r="B130"/>
  <c r="D130"/>
  <c r="F130"/>
  <c r="G130"/>
  <c r="H130"/>
  <c r="I130"/>
  <c r="J130"/>
  <c r="K130"/>
  <c r="B131"/>
  <c r="D131"/>
  <c r="F131"/>
  <c r="G131"/>
  <c r="H131"/>
  <c r="I131"/>
  <c r="J131"/>
  <c r="K131"/>
  <c r="B132"/>
  <c r="D132"/>
  <c r="F132"/>
  <c r="G132"/>
  <c r="H132"/>
  <c r="I132"/>
  <c r="J132"/>
  <c r="K132"/>
  <c r="B133"/>
  <c r="D133"/>
  <c r="F133"/>
  <c r="G133"/>
  <c r="H133"/>
  <c r="I133"/>
  <c r="J133"/>
  <c r="K133"/>
  <c r="B134"/>
  <c r="D134"/>
  <c r="F134"/>
  <c r="G134"/>
  <c r="H134"/>
  <c r="I134"/>
  <c r="J134"/>
  <c r="K134"/>
  <c r="B135"/>
  <c r="D135"/>
  <c r="F135"/>
  <c r="G135"/>
  <c r="H135"/>
  <c r="I135"/>
  <c r="J135"/>
  <c r="K135"/>
  <c r="B136"/>
  <c r="D136"/>
  <c r="F136"/>
  <c r="G136"/>
  <c r="H136"/>
  <c r="I136"/>
  <c r="J136"/>
  <c r="K136"/>
  <c r="B137"/>
  <c r="D137"/>
  <c r="F137"/>
  <c r="G137"/>
  <c r="H137"/>
  <c r="I137"/>
  <c r="J137"/>
  <c r="K137"/>
  <c r="B138"/>
  <c r="D138"/>
  <c r="F138"/>
  <c r="G138"/>
  <c r="H138"/>
  <c r="I138"/>
  <c r="J138"/>
  <c r="K138"/>
  <c r="B139"/>
  <c r="D139"/>
  <c r="F139"/>
  <c r="G139"/>
  <c r="H139"/>
  <c r="I139"/>
  <c r="J139"/>
  <c r="K139"/>
  <c r="B140"/>
  <c r="D140"/>
  <c r="F140"/>
  <c r="G140"/>
  <c r="H140"/>
  <c r="I140"/>
  <c r="J140"/>
  <c r="K140"/>
  <c r="B141"/>
  <c r="D141"/>
  <c r="F141"/>
  <c r="G141"/>
  <c r="H141"/>
  <c r="I141"/>
  <c r="J141"/>
  <c r="K141"/>
  <c r="B142"/>
  <c r="D142"/>
  <c r="F142"/>
  <c r="G142"/>
  <c r="H142"/>
  <c r="I142"/>
  <c r="J142"/>
  <c r="K142"/>
  <c r="B143"/>
  <c r="D143"/>
  <c r="F143"/>
  <c r="G143"/>
  <c r="H143"/>
  <c r="I143"/>
  <c r="J143"/>
  <c r="K143"/>
  <c r="B144"/>
  <c r="D144"/>
  <c r="F144"/>
  <c r="G144"/>
  <c r="H144"/>
  <c r="I144"/>
  <c r="J144"/>
  <c r="K144"/>
  <c r="B145"/>
  <c r="D145"/>
  <c r="F145"/>
  <c r="G145"/>
  <c r="H145"/>
  <c r="I145"/>
  <c r="J145"/>
  <c r="K145"/>
  <c r="B146"/>
  <c r="D146"/>
  <c r="F146"/>
  <c r="G146"/>
  <c r="H146"/>
  <c r="I146"/>
  <c r="J146"/>
  <c r="K146"/>
  <c r="B147"/>
  <c r="D147"/>
  <c r="F147"/>
  <c r="G147"/>
  <c r="H147"/>
  <c r="I147"/>
  <c r="J147"/>
  <c r="K147"/>
  <c r="B148"/>
  <c r="D148"/>
  <c r="F148"/>
  <c r="G148"/>
  <c r="H148"/>
  <c r="I148"/>
  <c r="J148"/>
  <c r="K148"/>
  <c r="B149"/>
  <c r="D149"/>
  <c r="F149"/>
  <c r="G149"/>
  <c r="H149"/>
  <c r="I149"/>
  <c r="J149"/>
  <c r="K149"/>
  <c r="B150"/>
  <c r="D150"/>
  <c r="E150"/>
  <c r="F150"/>
  <c r="G150"/>
  <c r="H150"/>
  <c r="I150"/>
  <c r="J150"/>
  <c r="K150"/>
  <c r="B151"/>
  <c r="D151"/>
  <c r="E151"/>
  <c r="F151"/>
  <c r="G151"/>
  <c r="H151"/>
  <c r="I151"/>
  <c r="J151"/>
  <c r="K151"/>
  <c r="B152"/>
  <c r="D152"/>
  <c r="E152"/>
  <c r="F152"/>
  <c r="G152"/>
  <c r="H152"/>
  <c r="I152"/>
  <c r="J152"/>
  <c r="K152"/>
  <c r="B153"/>
  <c r="D153"/>
  <c r="E153"/>
  <c r="F153"/>
  <c r="G153"/>
  <c r="H153"/>
  <c r="I153"/>
  <c r="J153"/>
  <c r="K153"/>
  <c r="B154"/>
  <c r="D154"/>
  <c r="E154"/>
  <c r="F154"/>
  <c r="G154"/>
  <c r="H154"/>
  <c r="I154"/>
  <c r="J154"/>
  <c r="K154"/>
  <c r="B155"/>
  <c r="D155"/>
  <c r="E155"/>
  <c r="F155"/>
  <c r="G155"/>
  <c r="H155"/>
  <c r="I155"/>
  <c r="J155"/>
  <c r="K155"/>
  <c r="B156"/>
  <c r="D156"/>
  <c r="E156"/>
  <c r="F156"/>
  <c r="G156"/>
  <c r="H156"/>
  <c r="I156"/>
  <c r="J156"/>
  <c r="K156"/>
  <c r="B157"/>
  <c r="D157"/>
  <c r="E157"/>
  <c r="F157"/>
  <c r="G157"/>
  <c r="H157"/>
  <c r="I157"/>
  <c r="J157"/>
  <c r="K157"/>
  <c r="B158"/>
  <c r="D158"/>
  <c r="E158"/>
  <c r="F158"/>
  <c r="G158"/>
  <c r="H158"/>
  <c r="I158"/>
  <c r="J158"/>
  <c r="K158"/>
  <c r="B159"/>
  <c r="D159"/>
  <c r="E159"/>
  <c r="F159"/>
  <c r="G159"/>
  <c r="H159"/>
  <c r="I159"/>
  <c r="J159"/>
  <c r="K159"/>
  <c r="B160"/>
  <c r="D160"/>
  <c r="E160"/>
  <c r="F160"/>
  <c r="G160"/>
  <c r="H160"/>
  <c r="I160"/>
  <c r="J160"/>
  <c r="K160"/>
  <c r="B161"/>
  <c r="D161"/>
  <c r="E161"/>
  <c r="F161"/>
  <c r="G161"/>
  <c r="H161"/>
  <c r="I161"/>
  <c r="J161"/>
  <c r="K161"/>
  <c r="B162"/>
  <c r="D162"/>
  <c r="E162"/>
  <c r="F162"/>
  <c r="G162"/>
  <c r="H162"/>
  <c r="I162"/>
  <c r="J162"/>
  <c r="K162"/>
  <c r="B163"/>
  <c r="D163"/>
  <c r="E163"/>
  <c r="F163"/>
  <c r="G163"/>
  <c r="H163"/>
  <c r="I163"/>
  <c r="J163"/>
  <c r="K163"/>
  <c r="B164"/>
  <c r="D164"/>
  <c r="E164"/>
  <c r="F164"/>
  <c r="G164"/>
  <c r="H164"/>
  <c r="I164"/>
  <c r="J164"/>
  <c r="K164"/>
  <c r="B165"/>
  <c r="D165"/>
  <c r="E165"/>
  <c r="F165"/>
  <c r="G165"/>
  <c r="H165"/>
  <c r="I165"/>
  <c r="J165"/>
  <c r="K165"/>
  <c r="B166"/>
  <c r="D166"/>
  <c r="E166"/>
  <c r="F166"/>
  <c r="G166"/>
  <c r="H166"/>
  <c r="I166"/>
  <c r="J166"/>
  <c r="K166"/>
  <c r="B167"/>
  <c r="D167"/>
  <c r="E167"/>
  <c r="F167"/>
  <c r="G167"/>
  <c r="H167"/>
  <c r="I167"/>
  <c r="J167"/>
  <c r="K167"/>
</calcChain>
</file>

<file path=xl/sharedStrings.xml><?xml version="1.0" encoding="utf-8"?>
<sst xmlns="http://schemas.openxmlformats.org/spreadsheetml/2006/main" count="177" uniqueCount="15">
  <si>
    <t>이상지질혈증+일반검진+N,N-DMA+N-부탄올+노말헥산(배치전)+디클로로메탄+메틸알코올+아세톤+이염화에틸렌+테트라하이드로퓨란+톨루엔(배치전)</t>
  </si>
  <si>
    <t>K2B 수첩소지자 체크후 조회</t>
  </si>
  <si>
    <t>원인 및 조치사항</t>
    <phoneticPr fontId="18" type="noConversion"/>
  </si>
  <si>
    <t>사업장 정보에 - K2B 제출 미제출로 체크</t>
    <phoneticPr fontId="18" type="noConversion"/>
  </si>
  <si>
    <t>2차 진행하기 전에 K2B 청구해버림</t>
    <phoneticPr fontId="18" type="noConversion"/>
  </si>
  <si>
    <t>차트번호</t>
    <phoneticPr fontId="18" type="noConversion"/>
  </si>
  <si>
    <t>국고금액</t>
    <phoneticPr fontId="18" type="noConversion"/>
  </si>
  <si>
    <t>청구번호</t>
    <phoneticPr fontId="18" type="noConversion"/>
  </si>
  <si>
    <t>사업장코드</t>
    <phoneticPr fontId="18" type="noConversion"/>
  </si>
  <si>
    <t>k2b청구
유/무</t>
    <phoneticPr fontId="18" type="noConversion"/>
  </si>
  <si>
    <t>검진
차수</t>
    <phoneticPr fontId="18" type="noConversion"/>
  </si>
  <si>
    <t>사업장이름</t>
    <phoneticPr fontId="18" type="noConversion"/>
  </si>
  <si>
    <t>검진일</t>
    <phoneticPr fontId="18" type="noConversion"/>
  </si>
  <si>
    <t>상태</t>
    <phoneticPr fontId="18" type="noConversion"/>
  </si>
  <si>
    <t>K2B 수첩소지자 체크후 조회+판정확정필요</t>
    <phoneticPr fontId="18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</si>
</sst>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0" xfId="0" applyBorder="1">
      <alignment vertical="center"/>
    </xf>
    <xf numFmtId="41" fontId="0" fillId="0" borderId="0" xfId="1" applyFont="1">
      <alignment vertical="center"/>
    </xf>
    <xf numFmtId="0" fontId="0" fillId="33" borderId="10" xfId="0" applyFill="1" applyBorder="1">
      <alignment vertical="center"/>
    </xf>
    <xf numFmtId="0" fontId="0" fillId="34" borderId="10" xfId="0" applyFill="1" applyBorder="1">
      <alignment vertical="center"/>
    </xf>
    <xf numFmtId="0" fontId="0" fillId="35" borderId="10" xfId="0" applyFill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</cellXfs>
  <cellStyles count="43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68"/>
  <sheetViews>
    <sheetView tabSelected="1" workbookViewId="0">
      <selection activeCell="A4" sqref="A4"/>
    </sheetView>
  </sheetViews>
  <sheetFormatPr defaultRowHeight="16.5"/>
  <cols>
    <col min="1" max="1" width="38.375" customWidth="1"/>
    <col min="2" max="2" width="10.25" bestFit="1" customWidth="1"/>
    <col min="3" max="3" width="11.75" bestFit="1" customWidth="1"/>
    <col min="4" max="4" width="7.125" bestFit="1" customWidth="1"/>
    <col min="5" max="5" width="7.5" bestFit="1" customWidth="1"/>
    <col min="6" max="6" width="8.75" bestFit="1" customWidth="1"/>
    <col min="7" max="7" width="51.375" bestFit="1" customWidth="1"/>
    <col min="8" max="8" width="14.375" bestFit="1" customWidth="1"/>
    <col min="9" max="9" width="8.125" bestFit="1" customWidth="1"/>
    <col min="10" max="10" width="10.625" bestFit="1" customWidth="1"/>
    <col min="11" max="11" width="6.5" bestFit="1" customWidth="1"/>
    <col min="12" max="12" width="230.5" bestFit="1" customWidth="1"/>
  </cols>
  <sheetData>
    <row r="1" spans="1:12" ht="33">
      <c r="A1" s="6" t="s">
        <v>2</v>
      </c>
      <c r="B1" s="6" t="s">
        <v>5</v>
      </c>
      <c r="C1" s="6" t="s">
        <v>6</v>
      </c>
      <c r="D1" s="6" t="s">
        <v>7</v>
      </c>
      <c r="E1" s="6" t="str">
        <f>"pocket"</f>
        <v>pocket</v>
      </c>
      <c r="F1" s="6" t="s">
        <v>8</v>
      </c>
      <c r="G1" s="6" t="s">
        <v>11</v>
      </c>
      <c r="H1" s="7" t="s">
        <v>9</v>
      </c>
      <c r="I1" s="7" t="s">
        <v>10</v>
      </c>
      <c r="J1" s="6" t="s">
        <v>12</v>
      </c>
      <c r="K1" s="6" t="s">
        <v>13</v>
      </c>
      <c r="L1" s="6" t="str">
        <f>"pkgnme"</f>
        <v>pkgnme</v>
      </c>
    </row>
    <row r="2" spans="1:12">
      <c r="A2" s="5" t="s">
        <v>1</v>
      </c>
      <c r="B2" s="1" t="str">
        <f>"14-19393"</f>
        <v>14-19393</v>
      </c>
      <c r="C2" s="1">
        <v>48840</v>
      </c>
      <c r="D2" s="1" t="str">
        <f>""</f>
        <v/>
      </c>
      <c r="E2" s="5" t="str">
        <f>"수첩"</f>
        <v>수첩</v>
      </c>
      <c r="F2" s="1" t="str">
        <f t="shared" ref="F2:F11" si="0">"2-094"</f>
        <v>2-094</v>
      </c>
      <c r="G2" s="1" t="str">
        <f t="shared" ref="G2:G11" si="1">"(주)삼성임업"</f>
        <v>(주)삼성임업</v>
      </c>
      <c r="H2" s="1" t="str">
        <f t="shared" ref="H2:H39" si="2">"Y"</f>
        <v>Y</v>
      </c>
      <c r="I2" s="1" t="str">
        <f>"1"</f>
        <v>1</v>
      </c>
      <c r="J2" s="1" t="str">
        <f>"20230612"</f>
        <v>20230612</v>
      </c>
      <c r="K2" s="1" t="str">
        <f t="shared" ref="K2:K33" si="3">"D"</f>
        <v>D</v>
      </c>
      <c r="L2" s="1" t="str">
        <f>"소음+목분진+진동"</f>
        <v>소음+목분진+진동</v>
      </c>
    </row>
    <row r="3" spans="1:12">
      <c r="A3" s="5" t="s">
        <v>1</v>
      </c>
      <c r="B3" s="1" t="str">
        <f>"22-11670"</f>
        <v>22-11670</v>
      </c>
      <c r="C3" s="1">
        <v>45400</v>
      </c>
      <c r="D3" s="1" t="str">
        <f>""</f>
        <v/>
      </c>
      <c r="E3" s="5" t="str">
        <f>"수첩"</f>
        <v>수첩</v>
      </c>
      <c r="F3" s="1" t="str">
        <f t="shared" si="0"/>
        <v>2-094</v>
      </c>
      <c r="G3" s="1" t="str">
        <f t="shared" si="1"/>
        <v>(주)삼성임업</v>
      </c>
      <c r="H3" s="1" t="str">
        <f t="shared" si="2"/>
        <v>Y</v>
      </c>
      <c r="I3" s="1" t="str">
        <f>"2"</f>
        <v>2</v>
      </c>
      <c r="J3" s="1" t="str">
        <f>"20230904"</f>
        <v>20230904</v>
      </c>
      <c r="K3" s="1" t="str">
        <f t="shared" si="3"/>
        <v>D</v>
      </c>
      <c r="L3" s="1" t="str">
        <f>"소음"</f>
        <v>소음</v>
      </c>
    </row>
    <row r="4" spans="1:12">
      <c r="A4" s="5" t="s">
        <v>1</v>
      </c>
      <c r="B4" s="1" t="str">
        <f>"14-19393"</f>
        <v>14-19393</v>
      </c>
      <c r="C4" s="1">
        <v>45400</v>
      </c>
      <c r="D4" s="1" t="str">
        <f>""</f>
        <v/>
      </c>
      <c r="E4" s="5" t="str">
        <f>"수첩"</f>
        <v>수첩</v>
      </c>
      <c r="F4" s="1" t="str">
        <f t="shared" si="0"/>
        <v>2-094</v>
      </c>
      <c r="G4" s="1" t="str">
        <f t="shared" si="1"/>
        <v>(주)삼성임업</v>
      </c>
      <c r="H4" s="1" t="str">
        <f t="shared" si="2"/>
        <v>Y</v>
      </c>
      <c r="I4" s="1" t="str">
        <f>"2"</f>
        <v>2</v>
      </c>
      <c r="J4" s="1" t="str">
        <f>"20230904"</f>
        <v>20230904</v>
      </c>
      <c r="K4" s="1" t="str">
        <f t="shared" si="3"/>
        <v>D</v>
      </c>
      <c r="L4" s="1" t="str">
        <f>"소음"</f>
        <v>소음</v>
      </c>
    </row>
    <row r="5" spans="1:12">
      <c r="A5" s="5" t="s">
        <v>1</v>
      </c>
      <c r="B5" s="1" t="str">
        <f>"09-06122"</f>
        <v>09-06122</v>
      </c>
      <c r="C5" s="1">
        <v>45400</v>
      </c>
      <c r="D5" s="1" t="str">
        <f>""</f>
        <v/>
      </c>
      <c r="E5" s="5" t="str">
        <f>"수첩"</f>
        <v>수첩</v>
      </c>
      <c r="F5" s="1" t="str">
        <f t="shared" si="0"/>
        <v>2-094</v>
      </c>
      <c r="G5" s="1" t="str">
        <f t="shared" si="1"/>
        <v>(주)삼성임업</v>
      </c>
      <c r="H5" s="1" t="str">
        <f t="shared" si="2"/>
        <v>Y</v>
      </c>
      <c r="I5" s="1" t="str">
        <f>"2"</f>
        <v>2</v>
      </c>
      <c r="J5" s="1" t="str">
        <f>"20230904"</f>
        <v>20230904</v>
      </c>
      <c r="K5" s="1" t="str">
        <f t="shared" si="3"/>
        <v>D</v>
      </c>
      <c r="L5" s="1" t="str">
        <f>"소음"</f>
        <v>소음</v>
      </c>
    </row>
    <row r="6" spans="1:12">
      <c r="A6" s="5" t="s">
        <v>1</v>
      </c>
      <c r="B6" s="1" t="str">
        <f>"22-11670"</f>
        <v>22-11670</v>
      </c>
      <c r="C6" s="1">
        <v>31280</v>
      </c>
      <c r="D6" s="1" t="str">
        <f>""</f>
        <v/>
      </c>
      <c r="E6" s="5" t="str">
        <f>"수첩"</f>
        <v>수첩</v>
      </c>
      <c r="F6" s="1" t="str">
        <f t="shared" si="0"/>
        <v>2-094</v>
      </c>
      <c r="G6" s="1" t="str">
        <f t="shared" si="1"/>
        <v>(주)삼성임업</v>
      </c>
      <c r="H6" s="1" t="str">
        <f t="shared" si="2"/>
        <v>Y</v>
      </c>
      <c r="I6" s="1" t="str">
        <f>"1"</f>
        <v>1</v>
      </c>
      <c r="J6" s="1" t="str">
        <f>"20230626"</f>
        <v>20230626</v>
      </c>
      <c r="K6" s="1" t="str">
        <f t="shared" si="3"/>
        <v>D</v>
      </c>
      <c r="L6" s="1" t="str">
        <f>"일반검진+정신건강검사+소음+목분진+진동"</f>
        <v>일반검진+정신건강검사+소음+목분진+진동</v>
      </c>
    </row>
    <row r="7" spans="1:12">
      <c r="A7" s="5" t="s">
        <v>1</v>
      </c>
      <c r="B7" s="1" t="str">
        <f>"09-09978"</f>
        <v>09-09978</v>
      </c>
      <c r="C7" s="1">
        <v>31280</v>
      </c>
      <c r="D7" s="1" t="str">
        <f>""</f>
        <v/>
      </c>
      <c r="E7" s="5" t="str">
        <f>"수첩"</f>
        <v>수첩</v>
      </c>
      <c r="F7" s="1" t="str">
        <f t="shared" si="0"/>
        <v>2-094</v>
      </c>
      <c r="G7" s="1" t="str">
        <f t="shared" si="1"/>
        <v>(주)삼성임업</v>
      </c>
      <c r="H7" s="1" t="str">
        <f t="shared" si="2"/>
        <v>Y</v>
      </c>
      <c r="I7" s="1" t="str">
        <f>"1"</f>
        <v>1</v>
      </c>
      <c r="J7" s="1" t="str">
        <f>"20230626"</f>
        <v>20230626</v>
      </c>
      <c r="K7" s="1" t="str">
        <f t="shared" si="3"/>
        <v>D</v>
      </c>
      <c r="L7" s="1" t="str">
        <f>"일반검진+소음+목분진+진동"</f>
        <v>일반검진+소음+목분진+진동</v>
      </c>
    </row>
    <row r="8" spans="1:12">
      <c r="A8" s="5" t="s">
        <v>1</v>
      </c>
      <c r="B8" s="1" t="str">
        <f>"10-13630"</f>
        <v>10-13630</v>
      </c>
      <c r="C8" s="1">
        <v>31280</v>
      </c>
      <c r="D8" s="1" t="str">
        <f>""</f>
        <v/>
      </c>
      <c r="E8" s="5" t="str">
        <f>"수첩"</f>
        <v>수첩</v>
      </c>
      <c r="F8" s="1" t="str">
        <f t="shared" si="0"/>
        <v>2-094</v>
      </c>
      <c r="G8" s="1" t="str">
        <f t="shared" si="1"/>
        <v>(주)삼성임업</v>
      </c>
      <c r="H8" s="1" t="str">
        <f t="shared" si="2"/>
        <v>Y</v>
      </c>
      <c r="I8" s="1" t="str">
        <f>"1"</f>
        <v>1</v>
      </c>
      <c r="J8" s="1" t="str">
        <f>"20230612"</f>
        <v>20230612</v>
      </c>
      <c r="K8" s="1" t="str">
        <f t="shared" si="3"/>
        <v>D</v>
      </c>
      <c r="L8" s="1" t="str">
        <f>"일반검진+소음+목분진+진동"</f>
        <v>일반검진+소음+목분진+진동</v>
      </c>
    </row>
    <row r="9" spans="1:12">
      <c r="A9" s="5" t="s">
        <v>1</v>
      </c>
      <c r="B9" s="1" t="str">
        <f>"09-06122"</f>
        <v>09-06122</v>
      </c>
      <c r="C9" s="1">
        <v>31280</v>
      </c>
      <c r="D9" s="1" t="str">
        <f>""</f>
        <v/>
      </c>
      <c r="E9" s="5" t="str">
        <f>"수첩"</f>
        <v>수첩</v>
      </c>
      <c r="F9" s="1" t="str">
        <f t="shared" si="0"/>
        <v>2-094</v>
      </c>
      <c r="G9" s="1" t="str">
        <f t="shared" si="1"/>
        <v>(주)삼성임업</v>
      </c>
      <c r="H9" s="1" t="str">
        <f t="shared" si="2"/>
        <v>Y</v>
      </c>
      <c r="I9" s="1" t="str">
        <f>"1"</f>
        <v>1</v>
      </c>
      <c r="J9" s="1" t="str">
        <f>"20230612"</f>
        <v>20230612</v>
      </c>
      <c r="K9" s="1" t="str">
        <f t="shared" si="3"/>
        <v>D</v>
      </c>
      <c r="L9" s="1" t="str">
        <f>"노인신체기능+인지기능장애+일반검진+정신건강검사+소음+목분진+진동"</f>
        <v>노인신체기능+인지기능장애+일반검진+정신건강검사+소음+목분진+진동</v>
      </c>
    </row>
    <row r="10" spans="1:12">
      <c r="A10" s="5" t="s">
        <v>1</v>
      </c>
      <c r="B10" s="1" t="str">
        <f>"10-13630"</f>
        <v>10-13630</v>
      </c>
      <c r="C10" s="1">
        <v>45400</v>
      </c>
      <c r="D10" s="1" t="str">
        <f>""</f>
        <v/>
      </c>
      <c r="E10" s="5" t="str">
        <f>"수첩"</f>
        <v>수첩</v>
      </c>
      <c r="F10" s="1" t="str">
        <f t="shared" si="0"/>
        <v>2-094</v>
      </c>
      <c r="G10" s="1" t="str">
        <f t="shared" si="1"/>
        <v>(주)삼성임업</v>
      </c>
      <c r="H10" s="1" t="str">
        <f t="shared" si="2"/>
        <v>Y</v>
      </c>
      <c r="I10" s="1" t="str">
        <f>"2"</f>
        <v>2</v>
      </c>
      <c r="J10" s="1" t="str">
        <f>"20230904"</f>
        <v>20230904</v>
      </c>
      <c r="K10" s="1" t="str">
        <f t="shared" si="3"/>
        <v>D</v>
      </c>
      <c r="L10" s="1" t="str">
        <f>"소음"</f>
        <v>소음</v>
      </c>
    </row>
    <row r="11" spans="1:12">
      <c r="A11" s="5" t="s">
        <v>1</v>
      </c>
      <c r="B11" s="1" t="str">
        <f>"09-09978"</f>
        <v>09-09978</v>
      </c>
      <c r="C11" s="1">
        <v>45400</v>
      </c>
      <c r="D11" s="1" t="str">
        <f>""</f>
        <v/>
      </c>
      <c r="E11" s="5" t="str">
        <f>"수첩"</f>
        <v>수첩</v>
      </c>
      <c r="F11" s="1" t="str">
        <f t="shared" si="0"/>
        <v>2-094</v>
      </c>
      <c r="G11" s="1" t="str">
        <f t="shared" si="1"/>
        <v>(주)삼성임업</v>
      </c>
      <c r="H11" s="1" t="str">
        <f t="shared" si="2"/>
        <v>Y</v>
      </c>
      <c r="I11" s="1" t="str">
        <f>"2"</f>
        <v>2</v>
      </c>
      <c r="J11" s="1" t="str">
        <f>"20230904"</f>
        <v>20230904</v>
      </c>
      <c r="K11" s="1" t="str">
        <f t="shared" si="3"/>
        <v>D</v>
      </c>
      <c r="L11" s="1" t="str">
        <f>"소음"</f>
        <v>소음</v>
      </c>
    </row>
    <row r="12" spans="1:12">
      <c r="A12" s="5" t="s">
        <v>1</v>
      </c>
      <c r="B12" s="1" t="str">
        <f>"19-05535"</f>
        <v>19-05535</v>
      </c>
      <c r="C12" s="1">
        <v>141540</v>
      </c>
      <c r="D12" s="1" t="str">
        <f>""</f>
        <v/>
      </c>
      <c r="E12" s="5" t="str">
        <f>"수첩"</f>
        <v>수첩</v>
      </c>
      <c r="F12" s="1" t="str">
        <f>"2-146"</f>
        <v>2-146</v>
      </c>
      <c r="G12" s="1" t="str">
        <f>"(주)동광알루미늄"</f>
        <v>(주)동광알루미늄</v>
      </c>
      <c r="H12" s="1" t="str">
        <f t="shared" si="2"/>
        <v>Y</v>
      </c>
      <c r="I12" s="1" t="str">
        <f>"2"</f>
        <v>2</v>
      </c>
      <c r="J12" s="1" t="str">
        <f>"20231014"</f>
        <v>20231014</v>
      </c>
      <c r="K12" s="1" t="str">
        <f t="shared" si="3"/>
        <v>D</v>
      </c>
      <c r="L12" s="1" t="str">
        <f>"호흡기계2차HRCT+호흡기계2차"</f>
        <v>호흡기계2차HRCT+호흡기계2차</v>
      </c>
    </row>
    <row r="13" spans="1:12">
      <c r="A13" s="5" t="s">
        <v>1</v>
      </c>
      <c r="B13" s="1" t="str">
        <f>"11-09301"</f>
        <v>11-09301</v>
      </c>
      <c r="C13" s="1">
        <v>45400</v>
      </c>
      <c r="D13" s="1" t="str">
        <f>""</f>
        <v/>
      </c>
      <c r="E13" s="5" t="str">
        <f>"수첩"</f>
        <v>수첩</v>
      </c>
      <c r="F13" s="1" t="str">
        <f>"2-146"</f>
        <v>2-146</v>
      </c>
      <c r="G13" s="1" t="str">
        <f>"(주)동광알루미늄"</f>
        <v>(주)동광알루미늄</v>
      </c>
      <c r="H13" s="1" t="str">
        <f t="shared" si="2"/>
        <v>Y</v>
      </c>
      <c r="I13" s="1" t="str">
        <f>"2"</f>
        <v>2</v>
      </c>
      <c r="J13" s="1" t="str">
        <f>"20231113"</f>
        <v>20231113</v>
      </c>
      <c r="K13" s="1" t="str">
        <f t="shared" si="3"/>
        <v>D</v>
      </c>
      <c r="L13" s="1" t="str">
        <f>"소음"</f>
        <v>소음</v>
      </c>
    </row>
    <row r="14" spans="1:12">
      <c r="A14" s="5" t="s">
        <v>1</v>
      </c>
      <c r="B14" s="1" t="str">
        <f>"19-05535"</f>
        <v>19-05535</v>
      </c>
      <c r="C14" s="1">
        <v>24010</v>
      </c>
      <c r="D14" s="1" t="str">
        <f>""</f>
        <v/>
      </c>
      <c r="E14" s="5" t="str">
        <f>"수첩"</f>
        <v>수첩</v>
      </c>
      <c r="F14" s="1" t="str">
        <f>"2-146"</f>
        <v>2-146</v>
      </c>
      <c r="G14" s="1" t="str">
        <f>"(주)동광알루미늄"</f>
        <v>(주)동광알루미늄</v>
      </c>
      <c r="H14" s="1" t="str">
        <f t="shared" si="2"/>
        <v>Y</v>
      </c>
      <c r="I14" s="1" t="str">
        <f>"1"</f>
        <v>1</v>
      </c>
      <c r="J14" s="1" t="str">
        <f>"20230708"</f>
        <v>20230708</v>
      </c>
      <c r="K14" s="1" t="str">
        <f t="shared" si="3"/>
        <v>D</v>
      </c>
      <c r="L14" s="1" t="str">
        <f>"일반검진+야간작업+광물성분진+산화아연+산화철+알루미늄+적외선"</f>
        <v>일반검진+야간작업+광물성분진+산화아연+산화철+알루미늄+적외선</v>
      </c>
    </row>
    <row r="15" spans="1:12">
      <c r="A15" s="5" t="s">
        <v>1</v>
      </c>
      <c r="B15" s="1" t="str">
        <f>"11-09301"</f>
        <v>11-09301</v>
      </c>
      <c r="C15" s="1">
        <v>45040</v>
      </c>
      <c r="D15" s="1" t="str">
        <f>""</f>
        <v/>
      </c>
      <c r="E15" s="5" t="str">
        <f>"수첩"</f>
        <v>수첩</v>
      </c>
      <c r="F15" s="1" t="str">
        <f>"2-146"</f>
        <v>2-146</v>
      </c>
      <c r="G15" s="1" t="str">
        <f>"(주)동광알루미늄"</f>
        <v>(주)동광알루미늄</v>
      </c>
      <c r="H15" s="1" t="str">
        <f t="shared" si="2"/>
        <v>Y</v>
      </c>
      <c r="I15" s="1" t="str">
        <f>"1"</f>
        <v>1</v>
      </c>
      <c r="J15" s="1" t="str">
        <f>"20230701"</f>
        <v>20230701</v>
      </c>
      <c r="K15" s="1" t="str">
        <f t="shared" si="3"/>
        <v>D</v>
      </c>
      <c r="L15" s="1" t="str">
        <f>"생활습관평가+일반검진+정신건강검사+야간작업+소음+광물성분진+산화아연+산화철+알루미늄+적외선"</f>
        <v>생활습관평가+일반검진+정신건강검사+야간작업+소음+광물성분진+산화아연+산화철+알루미늄+적외선</v>
      </c>
    </row>
    <row r="16" spans="1:12">
      <c r="A16" s="5" t="s">
        <v>1</v>
      </c>
      <c r="B16" s="1" t="str">
        <f>"23-03053"</f>
        <v>23-03053</v>
      </c>
      <c r="C16" s="1">
        <v>61710</v>
      </c>
      <c r="D16" s="1" t="str">
        <f>""</f>
        <v/>
      </c>
      <c r="E16" s="5" t="str">
        <f>"수첩"</f>
        <v>수첩</v>
      </c>
      <c r="F16" s="1" t="str">
        <f>"H00020"</f>
        <v>H00020</v>
      </c>
      <c r="G16" s="1" t="str">
        <f>"형제코팅(주)"</f>
        <v>형제코팅(주)</v>
      </c>
      <c r="H16" s="1" t="str">
        <f t="shared" si="2"/>
        <v>Y</v>
      </c>
      <c r="I16" s="1" t="str">
        <f>"1"</f>
        <v>1</v>
      </c>
      <c r="J16" s="1" t="str">
        <f>"20230318"</f>
        <v>20230318</v>
      </c>
      <c r="K16" s="1" t="str">
        <f t="shared" si="3"/>
        <v>D</v>
      </c>
      <c r="L16" s="1" t="str">
        <f>"광물성분진+메틸알코올+스티렌+아세톤+에틸벤젠+크실렌"</f>
        <v>광물성분진+메틸알코올+스티렌+아세톤+에틸벤젠+크실렌</v>
      </c>
    </row>
    <row r="17" spans="1:12">
      <c r="A17" s="5" t="s">
        <v>1</v>
      </c>
      <c r="B17" s="1" t="str">
        <f>"18-09994"</f>
        <v>18-09994</v>
      </c>
      <c r="C17" s="1">
        <v>31280</v>
      </c>
      <c r="D17" s="1" t="str">
        <f>""</f>
        <v/>
      </c>
      <c r="E17" s="5" t="str">
        <f>"수첩"</f>
        <v>수첩</v>
      </c>
      <c r="F17" s="1" t="str">
        <f>"H0031"</f>
        <v>H0031</v>
      </c>
      <c r="G17" s="1" t="str">
        <f>"명일금속(주)"</f>
        <v>명일금속(주)</v>
      </c>
      <c r="H17" s="1" t="str">
        <f t="shared" si="2"/>
        <v>Y</v>
      </c>
      <c r="I17" s="1" t="str">
        <f>"1"</f>
        <v>1</v>
      </c>
      <c r="J17" s="1" t="str">
        <f>"20230701"</f>
        <v>20230701</v>
      </c>
      <c r="K17" s="1" t="str">
        <f t="shared" si="3"/>
        <v>D</v>
      </c>
      <c r="L17" s="1" t="str">
        <f>"일반검진+정신건강검사+소음+광물성분진+용접흄+크롬+니켈+망간+산화철+알루미늄+텅스텐+자외선+미네랄오일미스트"</f>
        <v>일반검진+정신건강검사+소음+광물성분진+용접흄+크롬+니켈+망간+산화철+알루미늄+텅스텐+자외선+미네랄오일미스트</v>
      </c>
    </row>
    <row r="18" spans="1:12">
      <c r="A18" s="4" t="s">
        <v>4</v>
      </c>
      <c r="B18" s="1" t="str">
        <f>"17-16746"</f>
        <v>17-16746</v>
      </c>
      <c r="C18" s="1">
        <v>12060</v>
      </c>
      <c r="D18" s="1" t="str">
        <f>""</f>
        <v/>
      </c>
      <c r="E18" s="1" t="str">
        <f>"2"</f>
        <v>2</v>
      </c>
      <c r="F18" s="1" t="str">
        <f>"H0114"</f>
        <v>H0114</v>
      </c>
      <c r="G18" s="1" t="str">
        <f>"(주)아지텍"</f>
        <v>(주)아지텍</v>
      </c>
      <c r="H18" s="1" t="str">
        <f t="shared" si="2"/>
        <v>Y</v>
      </c>
      <c r="I18" s="4" t="str">
        <f>"2"</f>
        <v>2</v>
      </c>
      <c r="J18" s="1" t="str">
        <f>"20230314"</f>
        <v>20230314</v>
      </c>
      <c r="K18" s="1" t="str">
        <f t="shared" si="3"/>
        <v>D</v>
      </c>
      <c r="L18" s="1" t="str">
        <f>"고혈압재검(중금속)"</f>
        <v>고혈압재검(중금속)</v>
      </c>
    </row>
    <row r="19" spans="1:12">
      <c r="A19" s="4" t="s">
        <v>4</v>
      </c>
      <c r="B19" s="1" t="str">
        <f>"13-21288"</f>
        <v>13-21288</v>
      </c>
      <c r="C19" s="1">
        <v>124350</v>
      </c>
      <c r="D19" s="1" t="str">
        <f>""</f>
        <v/>
      </c>
      <c r="E19" s="1" t="str">
        <f>"2"</f>
        <v>2</v>
      </c>
      <c r="F19" s="1" t="str">
        <f>"H0152"</f>
        <v>H0152</v>
      </c>
      <c r="G19" s="1" t="str">
        <f>"태양산업사"</f>
        <v>태양산업사</v>
      </c>
      <c r="H19" s="1" t="str">
        <f t="shared" si="2"/>
        <v>Y</v>
      </c>
      <c r="I19" s="4" t="str">
        <f t="shared" ref="I19:I20" si="4">"2"</f>
        <v>2</v>
      </c>
      <c r="J19" s="1" t="str">
        <f>"20230320"</f>
        <v>20230320</v>
      </c>
      <c r="K19" s="1" t="str">
        <f t="shared" si="3"/>
        <v>D</v>
      </c>
      <c r="L19" s="1" t="str">
        <f>"납2차(생물학적)"</f>
        <v>납2차(생물학적)</v>
      </c>
    </row>
    <row r="20" spans="1:12">
      <c r="A20" s="4" t="s">
        <v>4</v>
      </c>
      <c r="B20" s="1" t="str">
        <f>"12-16100"</f>
        <v>12-16100</v>
      </c>
      <c r="C20" s="1">
        <v>124350</v>
      </c>
      <c r="D20" s="1" t="str">
        <f>""</f>
        <v/>
      </c>
      <c r="E20" s="1" t="str">
        <f>"2"</f>
        <v>2</v>
      </c>
      <c r="F20" s="1" t="str">
        <f>"H0152"</f>
        <v>H0152</v>
      </c>
      <c r="G20" s="1" t="str">
        <f>"태양산업사"</f>
        <v>태양산업사</v>
      </c>
      <c r="H20" s="1" t="str">
        <f t="shared" si="2"/>
        <v>Y</v>
      </c>
      <c r="I20" s="4" t="str">
        <f t="shared" si="4"/>
        <v>2</v>
      </c>
      <c r="J20" s="1" t="str">
        <f>"20230320"</f>
        <v>20230320</v>
      </c>
      <c r="K20" s="1" t="str">
        <f t="shared" si="3"/>
        <v>D</v>
      </c>
      <c r="L20" s="1" t="str">
        <f>"납2차(생물학적)"</f>
        <v>납2차(생물학적)</v>
      </c>
    </row>
    <row r="21" spans="1:12">
      <c r="A21" s="5" t="s">
        <v>1</v>
      </c>
      <c r="B21" s="1" t="str">
        <f>"06-07260"</f>
        <v>06-07260</v>
      </c>
      <c r="C21" s="1">
        <v>45400</v>
      </c>
      <c r="D21" s="1" t="str">
        <f>""</f>
        <v/>
      </c>
      <c r="E21" s="5" t="str">
        <f>"수첩"</f>
        <v>수첩</v>
      </c>
      <c r="F21" s="1" t="str">
        <f>"H0227"</f>
        <v>H0227</v>
      </c>
      <c r="G21" s="1" t="str">
        <f>"풍산산업사"</f>
        <v>풍산산업사</v>
      </c>
      <c r="H21" s="1" t="str">
        <f t="shared" si="2"/>
        <v>Y</v>
      </c>
      <c r="I21" s="1" t="str">
        <f>"2"</f>
        <v>2</v>
      </c>
      <c r="J21" s="1" t="str">
        <f>"20231213"</f>
        <v>20231213</v>
      </c>
      <c r="K21" s="1" t="str">
        <f t="shared" si="3"/>
        <v>D</v>
      </c>
      <c r="L21" s="1" t="str">
        <f>"소음"</f>
        <v>소음</v>
      </c>
    </row>
    <row r="22" spans="1:12">
      <c r="A22" s="5" t="s">
        <v>1</v>
      </c>
      <c r="B22" s="1" t="str">
        <f>"06-07260"</f>
        <v>06-07260</v>
      </c>
      <c r="C22" s="1">
        <v>31280</v>
      </c>
      <c r="D22" s="1" t="str">
        <f>""</f>
        <v/>
      </c>
      <c r="E22" s="5" t="str">
        <f>"수첩"</f>
        <v>수첩</v>
      </c>
      <c r="F22" s="1" t="str">
        <f>"H0227"</f>
        <v>H0227</v>
      </c>
      <c r="G22" s="1" t="str">
        <f>"풍산산업사"</f>
        <v>풍산산업사</v>
      </c>
      <c r="H22" s="1" t="str">
        <f t="shared" si="2"/>
        <v>Y</v>
      </c>
      <c r="I22" s="1" t="str">
        <f>"1"</f>
        <v>1</v>
      </c>
      <c r="J22" s="1" t="str">
        <f>"20230823"</f>
        <v>20230823</v>
      </c>
      <c r="K22" s="1" t="str">
        <f t="shared" si="3"/>
        <v>D</v>
      </c>
      <c r="L22" s="1" t="str">
        <f>"일반검진+소음+진동"</f>
        <v>일반검진+소음+진동</v>
      </c>
    </row>
    <row r="23" spans="1:12">
      <c r="A23" s="5" t="s">
        <v>1</v>
      </c>
      <c r="B23" s="1" t="str">
        <f>"14-11301"</f>
        <v>14-11301</v>
      </c>
      <c r="C23" s="1">
        <v>28150</v>
      </c>
      <c r="D23" s="1" t="str">
        <f>""</f>
        <v/>
      </c>
      <c r="E23" s="5" t="str">
        <f>"수첩"</f>
        <v>수첩</v>
      </c>
      <c r="F23" s="1" t="str">
        <f>"H0271"</f>
        <v>H0271</v>
      </c>
      <c r="G23" s="1" t="str">
        <f>"주식회사 이더멜라민"</f>
        <v>주식회사 이더멜라민</v>
      </c>
      <c r="H23" s="1" t="str">
        <f t="shared" si="2"/>
        <v>Y</v>
      </c>
      <c r="I23" s="1" t="str">
        <f>"1"</f>
        <v>1</v>
      </c>
      <c r="J23" s="1" t="str">
        <f>"20230721"</f>
        <v>20230721</v>
      </c>
      <c r="K23" s="1" t="str">
        <f t="shared" si="3"/>
        <v>D</v>
      </c>
      <c r="L23" s="1" t="str">
        <f>"일반검진+소음+광물성분진+진동"</f>
        <v>일반검진+소음+광물성분진+진동</v>
      </c>
    </row>
    <row r="24" spans="1:12">
      <c r="A24" s="5" t="s">
        <v>1</v>
      </c>
      <c r="B24" s="1" t="str">
        <f>"14-11301"</f>
        <v>14-11301</v>
      </c>
      <c r="C24" s="1">
        <v>45400</v>
      </c>
      <c r="D24" s="1" t="str">
        <f>""</f>
        <v/>
      </c>
      <c r="E24" s="5" t="str">
        <f>"수첩"</f>
        <v>수첩</v>
      </c>
      <c r="F24" s="1" t="str">
        <f>"H0271"</f>
        <v>H0271</v>
      </c>
      <c r="G24" s="1" t="str">
        <f>"주식회사 이더멜라민"</f>
        <v>주식회사 이더멜라민</v>
      </c>
      <c r="H24" s="1" t="str">
        <f t="shared" si="2"/>
        <v>Y</v>
      </c>
      <c r="I24" s="1" t="str">
        <f>"2"</f>
        <v>2</v>
      </c>
      <c r="J24" s="1" t="str">
        <f>"20231023"</f>
        <v>20231023</v>
      </c>
      <c r="K24" s="1" t="str">
        <f t="shared" si="3"/>
        <v>D</v>
      </c>
      <c r="L24" s="1" t="str">
        <f>"소음"</f>
        <v>소음</v>
      </c>
    </row>
    <row r="25" spans="1:12">
      <c r="A25" s="5" t="s">
        <v>1</v>
      </c>
      <c r="B25" s="1" t="str">
        <f>"10-17456"</f>
        <v>10-17456</v>
      </c>
      <c r="C25" s="1">
        <v>68510</v>
      </c>
      <c r="D25" s="1" t="str">
        <f>""</f>
        <v/>
      </c>
      <c r="E25" s="5" t="str">
        <f>"수첩"</f>
        <v>수첩</v>
      </c>
      <c r="F25" s="1" t="str">
        <f>"H0339"</f>
        <v>H0339</v>
      </c>
      <c r="G25" s="1" t="str">
        <f>"(주)세종테크노"</f>
        <v>(주)세종테크노</v>
      </c>
      <c r="H25" s="1" t="str">
        <f t="shared" si="2"/>
        <v>Y</v>
      </c>
      <c r="I25" s="1" t="str">
        <f>"2"</f>
        <v>2</v>
      </c>
      <c r="J25" s="1" t="str">
        <f>"20230923"</f>
        <v>20230923</v>
      </c>
      <c r="K25" s="1" t="str">
        <f t="shared" si="3"/>
        <v>D</v>
      </c>
      <c r="L25" s="1" t="str">
        <f>"간담도계2차"</f>
        <v>간담도계2차</v>
      </c>
    </row>
    <row r="26" spans="1:12">
      <c r="A26" s="5" t="s">
        <v>1</v>
      </c>
      <c r="B26" s="1" t="str">
        <f>"10-17456"</f>
        <v>10-17456</v>
      </c>
      <c r="C26" s="1">
        <v>61490</v>
      </c>
      <c r="D26" s="1" t="str">
        <f>""</f>
        <v/>
      </c>
      <c r="E26" s="5" t="str">
        <f>"수첩"</f>
        <v>수첩</v>
      </c>
      <c r="F26" s="1" t="str">
        <f>"H0339"</f>
        <v>H0339</v>
      </c>
      <c r="G26" s="1" t="str">
        <f>"(주)세종테크노"</f>
        <v>(주)세종테크노</v>
      </c>
      <c r="H26" s="1" t="str">
        <f t="shared" si="2"/>
        <v>Y</v>
      </c>
      <c r="I26" s="1" t="str">
        <f>"1"</f>
        <v>1</v>
      </c>
      <c r="J26" s="1" t="str">
        <f>"20230628"</f>
        <v>20230628</v>
      </c>
      <c r="K26" s="1" t="str">
        <f t="shared" si="3"/>
        <v>D</v>
      </c>
      <c r="L26" s="1" t="str">
        <f>"일반검진+TCE+미네랄오일미스트"</f>
        <v>일반검진+TCE+미네랄오일미스트</v>
      </c>
    </row>
    <row r="27" spans="1:12">
      <c r="A27" s="4" t="s">
        <v>4</v>
      </c>
      <c r="B27" s="1" t="str">
        <f>"10-17455"</f>
        <v>10-17455</v>
      </c>
      <c r="C27" s="1">
        <v>12060</v>
      </c>
      <c r="D27" s="1" t="str">
        <f>""</f>
        <v/>
      </c>
      <c r="E27" s="1" t="str">
        <f>"2"</f>
        <v>2</v>
      </c>
      <c r="F27" s="1" t="str">
        <f>"H0339"</f>
        <v>H0339</v>
      </c>
      <c r="G27" s="1" t="str">
        <f>"(주)세종테크노"</f>
        <v>(주)세종테크노</v>
      </c>
      <c r="H27" s="1" t="str">
        <f t="shared" si="2"/>
        <v>Y</v>
      </c>
      <c r="I27" s="4" t="str">
        <f>"2"</f>
        <v>2</v>
      </c>
      <c r="J27" s="1" t="str">
        <f>"20230922"</f>
        <v>20230922</v>
      </c>
      <c r="K27" s="1" t="str">
        <f t="shared" si="3"/>
        <v>D</v>
      </c>
      <c r="L27" s="1" t="str">
        <f>"고혈압재검(중금속)"</f>
        <v>고혈압재검(중금속)</v>
      </c>
    </row>
    <row r="28" spans="1:12">
      <c r="A28" s="5" t="s">
        <v>1</v>
      </c>
      <c r="B28" s="1" t="str">
        <f>"18-19555"</f>
        <v>18-19555</v>
      </c>
      <c r="C28" s="1">
        <v>75860</v>
      </c>
      <c r="D28" s="1" t="str">
        <f>""</f>
        <v/>
      </c>
      <c r="E28" s="5" t="str">
        <f>"수첩"</f>
        <v>수첩</v>
      </c>
      <c r="F28" s="1" t="str">
        <f>"H0349"</f>
        <v>H0349</v>
      </c>
      <c r="G28" s="1" t="str">
        <f>"(주)원영기공"</f>
        <v>(주)원영기공</v>
      </c>
      <c r="H28" s="1" t="str">
        <f t="shared" si="2"/>
        <v>Y</v>
      </c>
      <c r="I28" s="1" t="str">
        <f t="shared" ref="I28:I34" si="5">"1"</f>
        <v>1</v>
      </c>
      <c r="J28" s="1" t="str">
        <f>"20230818"</f>
        <v>20230818</v>
      </c>
      <c r="K28" s="1" t="str">
        <f t="shared" si="3"/>
        <v>D</v>
      </c>
      <c r="L28" s="1" t="str">
        <f>"일반검진+소음+유리섬유분진+에틸렌글리콜+크실렌+톨루엔(크레졸)+구리+산화아연+알루미늄+진동"</f>
        <v>일반검진+소음+유리섬유분진+에틸렌글리콜+크실렌+톨루엔(크레졸)+구리+산화아연+알루미늄+진동</v>
      </c>
    </row>
    <row r="29" spans="1:12">
      <c r="A29" s="5" t="s">
        <v>1</v>
      </c>
      <c r="B29" s="1" t="str">
        <f>"17-16057"</f>
        <v>17-16057</v>
      </c>
      <c r="C29" s="1">
        <v>10250</v>
      </c>
      <c r="D29" s="1" t="str">
        <f>""</f>
        <v/>
      </c>
      <c r="E29" s="5" t="str">
        <f>"수첩"</f>
        <v>수첩</v>
      </c>
      <c r="F29" s="1" t="str">
        <f>"H0354"</f>
        <v>H0354</v>
      </c>
      <c r="G29" s="1" t="str">
        <f>"일진엔지니어링"</f>
        <v>일진엔지니어링</v>
      </c>
      <c r="H29" s="1" t="str">
        <f t="shared" si="2"/>
        <v>Y</v>
      </c>
      <c r="I29" s="1" t="str">
        <f t="shared" si="5"/>
        <v>1</v>
      </c>
      <c r="J29" s="1" t="str">
        <f>"20230719"</f>
        <v>20230719</v>
      </c>
      <c r="K29" s="1" t="str">
        <f t="shared" si="3"/>
        <v>D</v>
      </c>
      <c r="L29" s="1" t="str">
        <f>"이상지질혈증+일반검진+미네랄오일미스트"</f>
        <v>이상지질혈증+일반검진+미네랄오일미스트</v>
      </c>
    </row>
    <row r="30" spans="1:12">
      <c r="A30" s="5" t="s">
        <v>1</v>
      </c>
      <c r="B30" s="1" t="str">
        <f>"11-17133"</f>
        <v>11-17133</v>
      </c>
      <c r="C30" s="1">
        <v>90750</v>
      </c>
      <c r="D30" s="1" t="str">
        <f>""</f>
        <v/>
      </c>
      <c r="E30" s="5" t="str">
        <f>"수첩"</f>
        <v>수첩</v>
      </c>
      <c r="F30" s="1" t="str">
        <f>"H0449"</f>
        <v>H0449</v>
      </c>
      <c r="G30" s="1" t="str">
        <f>"주식회사 태림금속열처리"</f>
        <v>주식회사 태림금속열처리</v>
      </c>
      <c r="H30" s="1" t="str">
        <f t="shared" si="2"/>
        <v>Y</v>
      </c>
      <c r="I30" s="1" t="str">
        <f t="shared" si="5"/>
        <v>1</v>
      </c>
      <c r="J30" s="1" t="str">
        <f>"20230710"</f>
        <v>20230710</v>
      </c>
      <c r="K30" s="1" t="str">
        <f t="shared" si="3"/>
        <v>D</v>
      </c>
      <c r="L30" s="1" t="str">
        <f>"일반검진+광물성분진+IPA+MEK+MIBK+N-부탄올+노말헥산+메틸알코올+아세톤+에틸벤젠+크실렌+톨루엔(크레졸)+산화철+알루미늄+지르코니움"</f>
        <v>일반검진+광물성분진+IPA+MEK+MIBK+N-부탄올+노말헥산+메틸알코올+아세톤+에틸벤젠+크실렌+톨루엔(크레졸)+산화철+알루미늄+지르코니움</v>
      </c>
    </row>
    <row r="31" spans="1:12">
      <c r="A31" s="5" t="s">
        <v>1</v>
      </c>
      <c r="B31" s="1" t="str">
        <f>"22-19793"</f>
        <v>22-19793</v>
      </c>
      <c r="C31" s="1">
        <v>9220</v>
      </c>
      <c r="D31" s="1" t="str">
        <f>""</f>
        <v/>
      </c>
      <c r="E31" s="5" t="str">
        <f>"수첩"</f>
        <v>수첩</v>
      </c>
      <c r="F31" s="1" t="str">
        <f>"H0462"</f>
        <v>H0462</v>
      </c>
      <c r="G31" s="1" t="str">
        <f>"태석정공(주)"</f>
        <v>태석정공(주)</v>
      </c>
      <c r="H31" s="1" t="str">
        <f t="shared" si="2"/>
        <v>Y</v>
      </c>
      <c r="I31" s="1" t="str">
        <f t="shared" si="5"/>
        <v>1</v>
      </c>
      <c r="J31" s="1" t="str">
        <f>"20230904"</f>
        <v>20230904</v>
      </c>
      <c r="K31" s="1" t="str">
        <f t="shared" si="3"/>
        <v>D</v>
      </c>
      <c r="L31" s="1" t="str">
        <f>"일반검진+미네랄오일미스트"</f>
        <v>일반검진+미네랄오일미스트</v>
      </c>
    </row>
    <row r="32" spans="1:12">
      <c r="A32" s="5" t="s">
        <v>1</v>
      </c>
      <c r="B32" s="1" t="str">
        <f>"23-07266"</f>
        <v>23-07266</v>
      </c>
      <c r="C32" s="1">
        <v>51570</v>
      </c>
      <c r="D32" s="1" t="str">
        <f>""</f>
        <v/>
      </c>
      <c r="E32" s="5" t="str">
        <f>"수첩"</f>
        <v>수첩</v>
      </c>
      <c r="F32" s="1" t="str">
        <f t="shared" ref="F32:F37" si="6">"H04928"</f>
        <v>H04928</v>
      </c>
      <c r="G32" s="1" t="str">
        <f t="shared" ref="G32:G37" si="7">"대하산업개발(주)[제일건설(주)검단AB18BL]"</f>
        <v>대하산업개발(주)[제일건설(주)검단AB18BL]</v>
      </c>
      <c r="H32" s="1" t="str">
        <f t="shared" si="2"/>
        <v>Y</v>
      </c>
      <c r="I32" s="1" t="str">
        <f t="shared" si="5"/>
        <v>1</v>
      </c>
      <c r="J32" s="1" t="str">
        <f>"20230613"</f>
        <v>20230613</v>
      </c>
      <c r="K32" s="1" t="str">
        <f t="shared" si="3"/>
        <v>D</v>
      </c>
      <c r="L32" s="1" t="str">
        <f>"소음(배치전)+광물성분진+용접흄+MDI+MEK+시클로헥사논+아세톤+테트라하이드로퓨란+망간+산화철+진동+자외선"</f>
        <v>소음(배치전)+광물성분진+용접흄+MDI+MEK+시클로헥사논+아세톤+테트라하이드로퓨란+망간+산화철+진동+자외선</v>
      </c>
    </row>
    <row r="33" spans="1:12">
      <c r="A33" s="5" t="s">
        <v>1</v>
      </c>
      <c r="B33" s="1" t="str">
        <f>"23-07720"</f>
        <v>23-07720</v>
      </c>
      <c r="C33" s="1">
        <v>51570</v>
      </c>
      <c r="D33" s="1" t="str">
        <f>""</f>
        <v/>
      </c>
      <c r="E33" s="5" t="str">
        <f>"수첩"</f>
        <v>수첩</v>
      </c>
      <c r="F33" s="1" t="str">
        <f t="shared" si="6"/>
        <v>H04928</v>
      </c>
      <c r="G33" s="1" t="str">
        <f t="shared" si="7"/>
        <v>대하산업개발(주)[제일건설(주)검단AB18BL]</v>
      </c>
      <c r="H33" s="1" t="str">
        <f t="shared" si="2"/>
        <v>Y</v>
      </c>
      <c r="I33" s="1" t="str">
        <f t="shared" si="5"/>
        <v>1</v>
      </c>
      <c r="J33" s="1" t="str">
        <f>"20230627"</f>
        <v>20230627</v>
      </c>
      <c r="K33" s="1" t="str">
        <f t="shared" si="3"/>
        <v>D</v>
      </c>
      <c r="L33" s="1" t="str">
        <f>"소음(배치전)+광물성분진+용접흄+MDI+MEK+시클로헥사논+아세톤+테트라하이드로퓨란+망간+산화철+진동+자외선"</f>
        <v>소음(배치전)+광물성분진+용접흄+MDI+MEK+시클로헥사논+아세톤+테트라하이드로퓨란+망간+산화철+진동+자외선</v>
      </c>
    </row>
    <row r="34" spans="1:12">
      <c r="A34" s="5" t="s">
        <v>1</v>
      </c>
      <c r="B34" s="1" t="str">
        <f>"23-08145"</f>
        <v>23-08145</v>
      </c>
      <c r="C34" s="1">
        <v>51570</v>
      </c>
      <c r="D34" s="1" t="str">
        <f>""</f>
        <v/>
      </c>
      <c r="E34" s="5" t="str">
        <f>"수첩"</f>
        <v>수첩</v>
      </c>
      <c r="F34" s="1" t="str">
        <f t="shared" si="6"/>
        <v>H04928</v>
      </c>
      <c r="G34" s="1" t="str">
        <f t="shared" si="7"/>
        <v>대하산업개발(주)[제일건설(주)검단AB18BL]</v>
      </c>
      <c r="H34" s="1" t="str">
        <f t="shared" si="2"/>
        <v>Y</v>
      </c>
      <c r="I34" s="1" t="str">
        <f t="shared" si="5"/>
        <v>1</v>
      </c>
      <c r="J34" s="1" t="str">
        <f>"20230712"</f>
        <v>20230712</v>
      </c>
      <c r="K34" s="1" t="str">
        <f t="shared" ref="K34:K69" si="8">"D"</f>
        <v>D</v>
      </c>
      <c r="L34" s="1" t="str">
        <f>"소음(배치전)+광물성분진+용접흄+MDI+MEK+시클로헥사논+아세톤+테트라하이드로퓨란+망간+산화철+진동+자외선"</f>
        <v>소음(배치전)+광물성분진+용접흄+MDI+MEK+시클로헥사논+아세톤+테트라하이드로퓨란+망간+산화철+진동+자외선</v>
      </c>
    </row>
    <row r="35" spans="1:12">
      <c r="A35" s="5" t="s">
        <v>1</v>
      </c>
      <c r="B35" s="1" t="str">
        <f>"23-07215"</f>
        <v>23-07215</v>
      </c>
      <c r="C35" s="1">
        <v>30000</v>
      </c>
      <c r="D35" s="1" t="str">
        <f>""</f>
        <v/>
      </c>
      <c r="E35" s="5" t="str">
        <f>"수첩"</f>
        <v>수첩</v>
      </c>
      <c r="F35" s="1" t="str">
        <f t="shared" si="6"/>
        <v>H04928</v>
      </c>
      <c r="G35" s="1" t="str">
        <f t="shared" si="7"/>
        <v>대하산업개발(주)[제일건설(주)검단AB18BL]</v>
      </c>
      <c r="H35" s="1" t="str">
        <f t="shared" si="2"/>
        <v>Y</v>
      </c>
      <c r="I35" s="1" t="str">
        <f>"2"</f>
        <v>2</v>
      </c>
      <c r="J35" s="1" t="str">
        <f>"20230811"</f>
        <v>20230811</v>
      </c>
      <c r="K35" s="1" t="str">
        <f t="shared" si="8"/>
        <v>D</v>
      </c>
      <c r="L35" s="1" t="str">
        <f>"고지혈증재검"</f>
        <v>고지혈증재검</v>
      </c>
    </row>
    <row r="36" spans="1:12">
      <c r="A36" s="5" t="s">
        <v>1</v>
      </c>
      <c r="B36" s="1" t="str">
        <f>"23-07720"</f>
        <v>23-07720</v>
      </c>
      <c r="C36" s="1">
        <v>40860</v>
      </c>
      <c r="D36" s="1" t="str">
        <f>""</f>
        <v/>
      </c>
      <c r="E36" s="5" t="str">
        <f>"수첩"</f>
        <v>수첩</v>
      </c>
      <c r="F36" s="1" t="str">
        <f t="shared" si="6"/>
        <v>H04928</v>
      </c>
      <c r="G36" s="1" t="str">
        <f t="shared" si="7"/>
        <v>대하산업개발(주)[제일건설(주)검단AB18BL]</v>
      </c>
      <c r="H36" s="1" t="str">
        <f t="shared" si="2"/>
        <v>Y</v>
      </c>
      <c r="I36" s="1" t="str">
        <f>"2"</f>
        <v>2</v>
      </c>
      <c r="J36" s="1" t="str">
        <f>"20230803"</f>
        <v>20230803</v>
      </c>
      <c r="K36" s="1" t="str">
        <f t="shared" si="8"/>
        <v>D</v>
      </c>
      <c r="L36" s="1" t="str">
        <f>"소음"</f>
        <v>소음</v>
      </c>
    </row>
    <row r="37" spans="1:12">
      <c r="A37" s="5" t="s">
        <v>1</v>
      </c>
      <c r="B37" s="1" t="str">
        <f>"23-07215"</f>
        <v>23-07215</v>
      </c>
      <c r="C37" s="1">
        <v>56080</v>
      </c>
      <c r="D37" s="1" t="str">
        <f>""</f>
        <v/>
      </c>
      <c r="E37" s="5" t="str">
        <f>"수첩"</f>
        <v>수첩</v>
      </c>
      <c r="F37" s="1" t="str">
        <f t="shared" si="6"/>
        <v>H04928</v>
      </c>
      <c r="G37" s="1" t="str">
        <f t="shared" si="7"/>
        <v>대하산업개발(주)[제일건설(주)검단AB18BL]</v>
      </c>
      <c r="H37" s="1" t="str">
        <f t="shared" si="2"/>
        <v>Y</v>
      </c>
      <c r="I37" s="1" t="str">
        <f>"1"</f>
        <v>1</v>
      </c>
      <c r="J37" s="1" t="str">
        <f>"20230612"</f>
        <v>20230612</v>
      </c>
      <c r="K37" s="1" t="str">
        <f t="shared" si="8"/>
        <v>D</v>
      </c>
      <c r="L37" s="1" t="str">
        <f>"N.N-DMA+노말헥산(배치전)+디클로로메탄+메틸알코올+아세톤+테트라하이드로퓨란+톨루엔(배치전)"</f>
        <v>N.N-DMA+노말헥산(배치전)+디클로로메탄+메틸알코올+아세톤+테트라하이드로퓨란+톨루엔(배치전)</v>
      </c>
    </row>
    <row r="38" spans="1:12">
      <c r="A38" s="5" t="s">
        <v>1</v>
      </c>
      <c r="B38" s="1" t="str">
        <f>"23-05514"</f>
        <v>23-05514</v>
      </c>
      <c r="C38" s="1">
        <v>33340</v>
      </c>
      <c r="D38" s="1" t="str">
        <f>""</f>
        <v/>
      </c>
      <c r="E38" s="5" t="str">
        <f>"수첩"</f>
        <v>수첩</v>
      </c>
      <c r="F38" s="1" t="str">
        <f>"H04930"</f>
        <v>H04930</v>
      </c>
      <c r="G38" s="1" t="str">
        <f>"주식회사 석천기업[(주)장형기업]"</f>
        <v>주식회사 석천기업[(주)장형기업]</v>
      </c>
      <c r="H38" s="1" t="str">
        <f t="shared" si="2"/>
        <v>Y</v>
      </c>
      <c r="I38" s="1" t="str">
        <f>"2"</f>
        <v>2</v>
      </c>
      <c r="J38" s="1" t="str">
        <f>"20231031"</f>
        <v>20231031</v>
      </c>
      <c r="K38" s="1" t="str">
        <f t="shared" si="8"/>
        <v>D</v>
      </c>
      <c r="L38" s="1" t="str">
        <f>"고지혈증재검"</f>
        <v>고지혈증재검</v>
      </c>
    </row>
    <row r="39" spans="1:12">
      <c r="A39" s="5" t="s">
        <v>1</v>
      </c>
      <c r="B39" s="1" t="str">
        <f>"23-05514"</f>
        <v>23-05514</v>
      </c>
      <c r="C39" s="1">
        <v>74850</v>
      </c>
      <c r="D39" s="1" t="str">
        <f>""</f>
        <v/>
      </c>
      <c r="E39" s="5" t="str">
        <f>"수첩"</f>
        <v>수첩</v>
      </c>
      <c r="F39" s="1" t="str">
        <f>"H04930"</f>
        <v>H04930</v>
      </c>
      <c r="G39" s="1" t="str">
        <f>"주식회사 석천기업[(주)장형기업]"</f>
        <v>주식회사 석천기업[(주)장형기업]</v>
      </c>
      <c r="H39" s="1" t="str">
        <f t="shared" si="2"/>
        <v>Y</v>
      </c>
      <c r="I39" s="1" t="str">
        <f t="shared" ref="I39:I48" si="9">"1"</f>
        <v>1</v>
      </c>
      <c r="J39" s="1" t="str">
        <f>"20230814"</f>
        <v>20230814</v>
      </c>
      <c r="K39" s="1" t="str">
        <f t="shared" si="8"/>
        <v>D</v>
      </c>
      <c r="L39" s="1" t="str">
        <f>"야간작업+소음(배치전)+광물성분진+진동"</f>
        <v>야간작업+소음(배치전)+광물성분진+진동</v>
      </c>
    </row>
    <row r="40" spans="1:12">
      <c r="A40" s="3" t="s">
        <v>3</v>
      </c>
      <c r="B40" s="1" t="str">
        <f>"19-01292"</f>
        <v>19-01292</v>
      </c>
      <c r="C40" s="1">
        <v>48540</v>
      </c>
      <c r="D40" s="1" t="str">
        <f>""</f>
        <v/>
      </c>
      <c r="E40" s="1" t="str">
        <f t="shared" ref="E40:E54" si="10">"2"</f>
        <v>2</v>
      </c>
      <c r="F40" s="1" t="str">
        <f>"H04952"</f>
        <v>H04952</v>
      </c>
      <c r="G40" s="1" t="str">
        <f>"명룡금속"</f>
        <v>명룡금속</v>
      </c>
      <c r="H40" s="3" t="str">
        <f t="shared" ref="H40:H54" si="11">"N"</f>
        <v>N</v>
      </c>
      <c r="I40" s="1" t="str">
        <f t="shared" si="9"/>
        <v>1</v>
      </c>
      <c r="J40" s="1" t="str">
        <f>"20230523"</f>
        <v>20230523</v>
      </c>
      <c r="K40" s="1" t="str">
        <f t="shared" si="8"/>
        <v>D</v>
      </c>
      <c r="L40" s="1" t="str">
        <f>"일반검진+정신건강검사+IPA+에틸렌글리콜+크롬+산화아연+코발트+불화수소+시안화나트륨+시안화수소+염화수소+질산+황산"</f>
        <v>일반검진+정신건강검사+IPA+에틸렌글리콜+크롬+산화아연+코발트+불화수소+시안화나트륨+시안화수소+염화수소+질산+황산</v>
      </c>
    </row>
    <row r="41" spans="1:12">
      <c r="A41" s="3" t="s">
        <v>3</v>
      </c>
      <c r="B41" s="1" t="str">
        <f>"19-09794"</f>
        <v>19-09794</v>
      </c>
      <c r="C41" s="1">
        <v>34700</v>
      </c>
      <c r="D41" s="1" t="str">
        <f>""</f>
        <v/>
      </c>
      <c r="E41" s="1" t="str">
        <f t="shared" si="10"/>
        <v>2</v>
      </c>
      <c r="F41" s="1" t="str">
        <f t="shared" ref="F41:F54" si="12">"H04953"</f>
        <v>H04953</v>
      </c>
      <c r="G41" s="1" t="str">
        <f t="shared" ref="G41:G54" si="13">"행복드림 요양원"</f>
        <v>행복드림 요양원</v>
      </c>
      <c r="H41" s="3" t="str">
        <f t="shared" si="11"/>
        <v>N</v>
      </c>
      <c r="I41" s="1" t="str">
        <f t="shared" si="9"/>
        <v>1</v>
      </c>
      <c r="J41" s="1" t="str">
        <f>"20230531"</f>
        <v>20230531</v>
      </c>
      <c r="K41" s="1" t="str">
        <f t="shared" si="8"/>
        <v>D</v>
      </c>
      <c r="L41" s="1" t="str">
        <f>"일반검진+야간작업"</f>
        <v>일반검진+야간작업</v>
      </c>
    </row>
    <row r="42" spans="1:12">
      <c r="A42" s="3" t="s">
        <v>3</v>
      </c>
      <c r="B42" s="1" t="str">
        <f>"23-06750"</f>
        <v>23-06750</v>
      </c>
      <c r="C42" s="1">
        <v>34700</v>
      </c>
      <c r="D42" s="1" t="str">
        <f>""</f>
        <v/>
      </c>
      <c r="E42" s="1" t="str">
        <f t="shared" si="10"/>
        <v>2</v>
      </c>
      <c r="F42" s="1" t="str">
        <f t="shared" si="12"/>
        <v>H04953</v>
      </c>
      <c r="G42" s="1" t="str">
        <f t="shared" si="13"/>
        <v>행복드림 요양원</v>
      </c>
      <c r="H42" s="3" t="str">
        <f t="shared" si="11"/>
        <v>N</v>
      </c>
      <c r="I42" s="1" t="str">
        <f t="shared" si="9"/>
        <v>1</v>
      </c>
      <c r="J42" s="1" t="str">
        <f>"20230531"</f>
        <v>20230531</v>
      </c>
      <c r="K42" s="1" t="str">
        <f t="shared" si="8"/>
        <v>D</v>
      </c>
      <c r="L42" s="1" t="str">
        <f>"일반검진+야간작업"</f>
        <v>일반검진+야간작업</v>
      </c>
    </row>
    <row r="43" spans="1:12">
      <c r="A43" s="3" t="s">
        <v>3</v>
      </c>
      <c r="B43" s="1" t="str">
        <f>"23-06751"</f>
        <v>23-06751</v>
      </c>
      <c r="C43" s="1">
        <v>44460</v>
      </c>
      <c r="D43" s="1" t="str">
        <f>""</f>
        <v/>
      </c>
      <c r="E43" s="1" t="str">
        <f t="shared" si="10"/>
        <v>2</v>
      </c>
      <c r="F43" s="1" t="str">
        <f t="shared" si="12"/>
        <v>H04953</v>
      </c>
      <c r="G43" s="1" t="str">
        <f t="shared" si="13"/>
        <v>행복드림 요양원</v>
      </c>
      <c r="H43" s="3" t="str">
        <f t="shared" si="11"/>
        <v>N</v>
      </c>
      <c r="I43" s="1" t="str">
        <f t="shared" si="9"/>
        <v>1</v>
      </c>
      <c r="J43" s="1" t="str">
        <f>"20230531"</f>
        <v>20230531</v>
      </c>
      <c r="K43" s="1" t="str">
        <f t="shared" si="8"/>
        <v>D</v>
      </c>
      <c r="L43" s="1" t="str">
        <f>"야간작업"</f>
        <v>야간작업</v>
      </c>
    </row>
    <row r="44" spans="1:12">
      <c r="A44" s="3" t="s">
        <v>3</v>
      </c>
      <c r="B44" s="1" t="str">
        <f>"19-06547"</f>
        <v>19-06547</v>
      </c>
      <c r="C44" s="1">
        <v>44460</v>
      </c>
      <c r="D44" s="1" t="str">
        <f>""</f>
        <v/>
      </c>
      <c r="E44" s="1" t="str">
        <f t="shared" si="10"/>
        <v>2</v>
      </c>
      <c r="F44" s="1" t="str">
        <f t="shared" si="12"/>
        <v>H04953</v>
      </c>
      <c r="G44" s="1" t="str">
        <f t="shared" si="13"/>
        <v>행복드림 요양원</v>
      </c>
      <c r="H44" s="3" t="str">
        <f t="shared" si="11"/>
        <v>N</v>
      </c>
      <c r="I44" s="1" t="str">
        <f t="shared" si="9"/>
        <v>1</v>
      </c>
      <c r="J44" s="1" t="str">
        <f>"20230531"</f>
        <v>20230531</v>
      </c>
      <c r="K44" s="1" t="str">
        <f t="shared" si="8"/>
        <v>D</v>
      </c>
      <c r="L44" s="1" t="str">
        <f>"야간작업"</f>
        <v>야간작업</v>
      </c>
    </row>
    <row r="45" spans="1:12">
      <c r="A45" s="3" t="s">
        <v>3</v>
      </c>
      <c r="B45" s="1" t="str">
        <f>"23-07440"</f>
        <v>23-07440</v>
      </c>
      <c r="C45" s="1">
        <v>34700</v>
      </c>
      <c r="D45" s="1" t="str">
        <f>""</f>
        <v/>
      </c>
      <c r="E45" s="1" t="str">
        <f t="shared" si="10"/>
        <v>2</v>
      </c>
      <c r="F45" s="1" t="str">
        <f t="shared" si="12"/>
        <v>H04953</v>
      </c>
      <c r="G45" s="1" t="str">
        <f t="shared" si="13"/>
        <v>행복드림 요양원</v>
      </c>
      <c r="H45" s="3" t="str">
        <f t="shared" si="11"/>
        <v>N</v>
      </c>
      <c r="I45" s="1" t="str">
        <f t="shared" si="9"/>
        <v>1</v>
      </c>
      <c r="J45" s="1" t="str">
        <f>"20230616"</f>
        <v>20230616</v>
      </c>
      <c r="K45" s="1" t="str">
        <f t="shared" si="8"/>
        <v>D</v>
      </c>
      <c r="L45" s="1" t="str">
        <f>"일반검진+야간작업"</f>
        <v>일반검진+야간작업</v>
      </c>
    </row>
    <row r="46" spans="1:12">
      <c r="A46" s="3" t="s">
        <v>3</v>
      </c>
      <c r="B46" s="1" t="str">
        <f>"13-05026"</f>
        <v>13-05026</v>
      </c>
      <c r="C46" s="1">
        <v>44460</v>
      </c>
      <c r="D46" s="1" t="str">
        <f>""</f>
        <v/>
      </c>
      <c r="E46" s="1" t="str">
        <f t="shared" si="10"/>
        <v>2</v>
      </c>
      <c r="F46" s="1" t="str">
        <f t="shared" si="12"/>
        <v>H04953</v>
      </c>
      <c r="G46" s="1" t="str">
        <f t="shared" si="13"/>
        <v>행복드림 요양원</v>
      </c>
      <c r="H46" s="3" t="str">
        <f t="shared" si="11"/>
        <v>N</v>
      </c>
      <c r="I46" s="1" t="str">
        <f t="shared" si="9"/>
        <v>1</v>
      </c>
      <c r="J46" s="1" t="str">
        <f>"20230531"</f>
        <v>20230531</v>
      </c>
      <c r="K46" s="1" t="str">
        <f t="shared" si="8"/>
        <v>D</v>
      </c>
      <c r="L46" s="1" t="str">
        <f>"야간작업"</f>
        <v>야간작업</v>
      </c>
    </row>
    <row r="47" spans="1:12">
      <c r="A47" s="3" t="s">
        <v>3</v>
      </c>
      <c r="B47" s="1" t="str">
        <f>"23-07718"</f>
        <v>23-07718</v>
      </c>
      <c r="C47" s="1">
        <v>34700</v>
      </c>
      <c r="D47" s="1" t="str">
        <f>""</f>
        <v/>
      </c>
      <c r="E47" s="1" t="str">
        <f t="shared" si="10"/>
        <v>2</v>
      </c>
      <c r="F47" s="1" t="str">
        <f t="shared" si="12"/>
        <v>H04953</v>
      </c>
      <c r="G47" s="1" t="str">
        <f t="shared" si="13"/>
        <v>행복드림 요양원</v>
      </c>
      <c r="H47" s="3" t="str">
        <f t="shared" si="11"/>
        <v>N</v>
      </c>
      <c r="I47" s="1" t="str">
        <f t="shared" si="9"/>
        <v>1</v>
      </c>
      <c r="J47" s="1" t="str">
        <f>"20230623"</f>
        <v>20230623</v>
      </c>
      <c r="K47" s="1" t="str">
        <f t="shared" si="8"/>
        <v>D</v>
      </c>
      <c r="L47" s="1" t="str">
        <f>"일반검진+야간작업"</f>
        <v>일반검진+야간작업</v>
      </c>
    </row>
    <row r="48" spans="1:12">
      <c r="A48" s="3" t="s">
        <v>3</v>
      </c>
      <c r="B48" s="1" t="str">
        <f>"08-04793"</f>
        <v>08-04793</v>
      </c>
      <c r="C48" s="1">
        <v>44460</v>
      </c>
      <c r="D48" s="1" t="str">
        <f>""</f>
        <v/>
      </c>
      <c r="E48" s="1" t="str">
        <f t="shared" si="10"/>
        <v>2</v>
      </c>
      <c r="F48" s="1" t="str">
        <f t="shared" si="12"/>
        <v>H04953</v>
      </c>
      <c r="G48" s="1" t="str">
        <f t="shared" si="13"/>
        <v>행복드림 요양원</v>
      </c>
      <c r="H48" s="3" t="str">
        <f t="shared" si="11"/>
        <v>N</v>
      </c>
      <c r="I48" s="1" t="str">
        <f t="shared" si="9"/>
        <v>1</v>
      </c>
      <c r="J48" s="1" t="str">
        <f>"20230624"</f>
        <v>20230624</v>
      </c>
      <c r="K48" s="1" t="str">
        <f t="shared" si="8"/>
        <v>D</v>
      </c>
      <c r="L48" s="1" t="str">
        <f>"야간작업"</f>
        <v>야간작업</v>
      </c>
    </row>
    <row r="49" spans="1:12">
      <c r="A49" s="3" t="s">
        <v>3</v>
      </c>
      <c r="B49" s="1" t="str">
        <f>"23-07440"</f>
        <v>23-07440</v>
      </c>
      <c r="C49" s="1">
        <v>27060</v>
      </c>
      <c r="D49" s="1" t="str">
        <f>""</f>
        <v/>
      </c>
      <c r="E49" s="1" t="str">
        <f t="shared" si="10"/>
        <v>2</v>
      </c>
      <c r="F49" s="1" t="str">
        <f t="shared" si="12"/>
        <v>H04953</v>
      </c>
      <c r="G49" s="1" t="str">
        <f t="shared" si="13"/>
        <v>행복드림 요양원</v>
      </c>
      <c r="H49" s="3" t="str">
        <f t="shared" si="11"/>
        <v>N</v>
      </c>
      <c r="I49" s="1" t="str">
        <f>"2"</f>
        <v>2</v>
      </c>
      <c r="J49" s="1" t="str">
        <f>"20230727"</f>
        <v>20230727</v>
      </c>
      <c r="K49" s="1" t="str">
        <f t="shared" si="8"/>
        <v>D</v>
      </c>
      <c r="L49" s="1" t="str">
        <f>"심층면담및문진"</f>
        <v>심층면담및문진</v>
      </c>
    </row>
    <row r="50" spans="1:12">
      <c r="A50" s="3" t="s">
        <v>3</v>
      </c>
      <c r="B50" s="1" t="str">
        <f>"20-13355"</f>
        <v>20-13355</v>
      </c>
      <c r="C50" s="1">
        <v>10250</v>
      </c>
      <c r="D50" s="1" t="str">
        <f>""</f>
        <v/>
      </c>
      <c r="E50" s="1" t="str">
        <f t="shared" si="10"/>
        <v>2</v>
      </c>
      <c r="F50" s="1" t="str">
        <f t="shared" si="12"/>
        <v>H04953</v>
      </c>
      <c r="G50" s="1" t="str">
        <f t="shared" si="13"/>
        <v>행복드림 요양원</v>
      </c>
      <c r="H50" s="3" t="str">
        <f t="shared" si="11"/>
        <v>N</v>
      </c>
      <c r="I50" s="1" t="str">
        <f>"1"</f>
        <v>1</v>
      </c>
      <c r="J50" s="1" t="str">
        <f>"20230626"</f>
        <v>20230626</v>
      </c>
      <c r="K50" s="1" t="str">
        <f t="shared" si="8"/>
        <v>D</v>
      </c>
      <c r="L50" s="1" t="str">
        <f>"이상지질혈증+일반검진+야간작업"</f>
        <v>이상지질혈증+일반검진+야간작업</v>
      </c>
    </row>
    <row r="51" spans="1:12">
      <c r="A51" s="3" t="s">
        <v>3</v>
      </c>
      <c r="B51" s="1" t="str">
        <f>"23-06752"</f>
        <v>23-06752</v>
      </c>
      <c r="C51" s="1">
        <v>44460</v>
      </c>
      <c r="D51" s="1" t="str">
        <f>""</f>
        <v/>
      </c>
      <c r="E51" s="1" t="str">
        <f t="shared" si="10"/>
        <v>2</v>
      </c>
      <c r="F51" s="1" t="str">
        <f t="shared" si="12"/>
        <v>H04953</v>
      </c>
      <c r="G51" s="1" t="str">
        <f t="shared" si="13"/>
        <v>행복드림 요양원</v>
      </c>
      <c r="H51" s="3" t="str">
        <f t="shared" si="11"/>
        <v>N</v>
      </c>
      <c r="I51" s="1" t="str">
        <f>"1"</f>
        <v>1</v>
      </c>
      <c r="J51" s="1" t="str">
        <f>"20230531"</f>
        <v>20230531</v>
      </c>
      <c r="K51" s="1" t="str">
        <f t="shared" si="8"/>
        <v>D</v>
      </c>
      <c r="L51" s="1" t="str">
        <f>"야간작업"</f>
        <v>야간작업</v>
      </c>
    </row>
    <row r="52" spans="1:12">
      <c r="A52" s="3" t="s">
        <v>3</v>
      </c>
      <c r="B52" s="1" t="str">
        <f>"23-07250"</f>
        <v>23-07250</v>
      </c>
      <c r="C52" s="1">
        <v>34700</v>
      </c>
      <c r="D52" s="1" t="str">
        <f>""</f>
        <v/>
      </c>
      <c r="E52" s="1" t="str">
        <f t="shared" si="10"/>
        <v>2</v>
      </c>
      <c r="F52" s="1" t="str">
        <f t="shared" si="12"/>
        <v>H04953</v>
      </c>
      <c r="G52" s="1" t="str">
        <f t="shared" si="13"/>
        <v>행복드림 요양원</v>
      </c>
      <c r="H52" s="3" t="str">
        <f t="shared" si="11"/>
        <v>N</v>
      </c>
      <c r="I52" s="1" t="str">
        <f>"1"</f>
        <v>1</v>
      </c>
      <c r="J52" s="1" t="str">
        <f>"20230612"</f>
        <v>20230612</v>
      </c>
      <c r="K52" s="1" t="str">
        <f t="shared" si="8"/>
        <v>D</v>
      </c>
      <c r="L52" s="1" t="str">
        <f>"일반검진+야간작업"</f>
        <v>일반검진+야간작업</v>
      </c>
    </row>
    <row r="53" spans="1:12">
      <c r="A53" s="3" t="s">
        <v>3</v>
      </c>
      <c r="B53" s="1" t="str">
        <f>"23-07250"</f>
        <v>23-07250</v>
      </c>
      <c r="C53" s="1">
        <v>21550</v>
      </c>
      <c r="D53" s="1" t="str">
        <f>""</f>
        <v/>
      </c>
      <c r="E53" s="1" t="str">
        <f t="shared" si="10"/>
        <v>2</v>
      </c>
      <c r="F53" s="1" t="str">
        <f t="shared" si="12"/>
        <v>H04953</v>
      </c>
      <c r="G53" s="1" t="str">
        <f t="shared" si="13"/>
        <v>행복드림 요양원</v>
      </c>
      <c r="H53" s="3" t="str">
        <f t="shared" si="11"/>
        <v>N</v>
      </c>
      <c r="I53" s="1" t="str">
        <f>"2"</f>
        <v>2</v>
      </c>
      <c r="J53" s="1" t="str">
        <f>"20230803"</f>
        <v>20230803</v>
      </c>
      <c r="K53" s="1" t="str">
        <f t="shared" si="8"/>
        <v>D</v>
      </c>
      <c r="L53" s="1" t="str">
        <f>"당뇨재검"</f>
        <v>당뇨재검</v>
      </c>
    </row>
    <row r="54" spans="1:12">
      <c r="A54" s="3" t="s">
        <v>3</v>
      </c>
      <c r="B54" s="1" t="str">
        <f>"20-07175"</f>
        <v>20-07175</v>
      </c>
      <c r="C54" s="1">
        <v>44460</v>
      </c>
      <c r="D54" s="1" t="str">
        <f>""</f>
        <v/>
      </c>
      <c r="E54" s="1" t="str">
        <f t="shared" si="10"/>
        <v>2</v>
      </c>
      <c r="F54" s="1" t="str">
        <f t="shared" si="12"/>
        <v>H04953</v>
      </c>
      <c r="G54" s="1" t="str">
        <f t="shared" si="13"/>
        <v>행복드림 요양원</v>
      </c>
      <c r="H54" s="3" t="str">
        <f t="shared" si="11"/>
        <v>N</v>
      </c>
      <c r="I54" s="1" t="str">
        <f>"1"</f>
        <v>1</v>
      </c>
      <c r="J54" s="1" t="str">
        <f>"20230609"</f>
        <v>20230609</v>
      </c>
      <c r="K54" s="1" t="str">
        <f t="shared" si="8"/>
        <v>D</v>
      </c>
      <c r="L54" s="1" t="str">
        <f>"야간작업"</f>
        <v>야간작업</v>
      </c>
    </row>
    <row r="55" spans="1:12">
      <c r="A55" s="5" t="s">
        <v>1</v>
      </c>
      <c r="B55" s="1" t="str">
        <f>"23-08488"</f>
        <v>23-08488</v>
      </c>
      <c r="C55" s="1">
        <v>43210</v>
      </c>
      <c r="D55" s="1" t="str">
        <f>""</f>
        <v/>
      </c>
      <c r="E55" s="5" t="str">
        <f>"수첩"</f>
        <v>수첩</v>
      </c>
      <c r="F55" s="1" t="str">
        <f>"H04973"</f>
        <v>H04973</v>
      </c>
      <c r="G55" s="1" t="str">
        <f>"장한전산(주)[제일건설(주)검단AB18BL]"</f>
        <v>장한전산(주)[제일건설(주)검단AB18BL]</v>
      </c>
      <c r="H55" s="1" t="str">
        <f t="shared" ref="H55:H85" si="14">"Y"</f>
        <v>Y</v>
      </c>
      <c r="I55" s="1" t="str">
        <f>"1"</f>
        <v>1</v>
      </c>
      <c r="J55" s="1" t="str">
        <f>"20230711"</f>
        <v>20230711</v>
      </c>
      <c r="K55" s="1" t="str">
        <f t="shared" si="8"/>
        <v>D</v>
      </c>
      <c r="L55" s="1" t="str">
        <f>"소음(배치전)+광물성분진+아세톤+크실렌(배치전)+톨루엔(배치전)+자외선"</f>
        <v>소음(배치전)+광물성분진+아세톤+크실렌(배치전)+톨루엔(배치전)+자외선</v>
      </c>
    </row>
    <row r="56" spans="1:12">
      <c r="A56" s="5" t="s">
        <v>1</v>
      </c>
      <c r="B56" s="1" t="str">
        <f>"23-08352"</f>
        <v>23-08352</v>
      </c>
      <c r="C56" s="1">
        <v>43210</v>
      </c>
      <c r="D56" s="1" t="str">
        <f>""</f>
        <v/>
      </c>
      <c r="E56" s="5" t="str">
        <f>"수첩"</f>
        <v>수첩</v>
      </c>
      <c r="F56" s="1" t="str">
        <f>"H04973"</f>
        <v>H04973</v>
      </c>
      <c r="G56" s="1" t="str">
        <f>"장한전산(주)[제일건설(주)검단AB18BL]"</f>
        <v>장한전산(주)[제일건설(주)검단AB18BL]</v>
      </c>
      <c r="H56" s="1" t="str">
        <f t="shared" si="14"/>
        <v>Y</v>
      </c>
      <c r="I56" s="1" t="str">
        <f>"1"</f>
        <v>1</v>
      </c>
      <c r="J56" s="1" t="str">
        <f>"20230711"</f>
        <v>20230711</v>
      </c>
      <c r="K56" s="1" t="str">
        <f t="shared" si="8"/>
        <v>D</v>
      </c>
      <c r="L56" s="1" t="str">
        <f>"소음(배치전)+광물성분진+아세톤+크실렌(배치전)+톨루엔(배치전)+자외선"</f>
        <v>소음(배치전)+광물성분진+아세톤+크실렌(배치전)+톨루엔(배치전)+자외선</v>
      </c>
    </row>
    <row r="57" spans="1:12">
      <c r="A57" s="4" t="s">
        <v>4</v>
      </c>
      <c r="B57" s="1" t="str">
        <f>"17-11005"</f>
        <v>17-11005</v>
      </c>
      <c r="C57" s="1">
        <v>12060</v>
      </c>
      <c r="D57" s="1" t="str">
        <f>""</f>
        <v/>
      </c>
      <c r="E57" s="1" t="str">
        <f>"2"</f>
        <v>2</v>
      </c>
      <c r="F57" s="1" t="str">
        <f>"H0694"</f>
        <v>H0694</v>
      </c>
      <c r="G57" s="1" t="str">
        <f>"(주)세건피앤씨"</f>
        <v>(주)세건피앤씨</v>
      </c>
      <c r="H57" s="1" t="str">
        <f t="shared" si="14"/>
        <v>Y</v>
      </c>
      <c r="I57" s="4" t="str">
        <f>"2"</f>
        <v>2</v>
      </c>
      <c r="J57" s="1" t="str">
        <f>"20231104"</f>
        <v>20231104</v>
      </c>
      <c r="K57" s="1" t="str">
        <f t="shared" si="8"/>
        <v>D</v>
      </c>
      <c r="L57" s="1" t="str">
        <f>"고혈압재검"</f>
        <v>고혈압재검</v>
      </c>
    </row>
    <row r="58" spans="1:12">
      <c r="A58" s="5" t="s">
        <v>1</v>
      </c>
      <c r="B58" s="1" t="str">
        <f>"10-10453"</f>
        <v>10-10453</v>
      </c>
      <c r="C58" s="1">
        <v>101570</v>
      </c>
      <c r="D58" s="1" t="str">
        <f>""</f>
        <v/>
      </c>
      <c r="E58" s="5" t="str">
        <f>"수첩"</f>
        <v>수첩</v>
      </c>
      <c r="F58" s="1" t="str">
        <f>"H1059"</f>
        <v>H1059</v>
      </c>
      <c r="G58" s="1" t="str">
        <f>"주식회사 삼인공업사"</f>
        <v>주식회사 삼인공업사</v>
      </c>
      <c r="H58" s="1" t="str">
        <f t="shared" si="14"/>
        <v>Y</v>
      </c>
      <c r="I58" s="1" t="str">
        <f>"1"</f>
        <v>1</v>
      </c>
      <c r="J58" s="1" t="str">
        <f>"20230706"</f>
        <v>20230706</v>
      </c>
      <c r="K58" s="1" t="str">
        <f t="shared" si="8"/>
        <v>D</v>
      </c>
      <c r="L58" s="1" t="str">
        <f>"용접흄+부틸셀로솔브+크실렌+톨루엔(크레졸)+망간+산화철+진동+자외선"</f>
        <v>용접흄+부틸셀로솔브+크실렌+톨루엔(크레졸)+망간+산화철+진동+자외선</v>
      </c>
    </row>
    <row r="59" spans="1:12">
      <c r="A59" s="5" t="s">
        <v>1</v>
      </c>
      <c r="B59" s="1" t="str">
        <f>"14-05373"</f>
        <v>14-05373</v>
      </c>
      <c r="C59" s="1">
        <v>37820</v>
      </c>
      <c r="D59" s="1" t="str">
        <f>""</f>
        <v/>
      </c>
      <c r="E59" s="5" t="str">
        <f>"수첩"</f>
        <v>수첩</v>
      </c>
      <c r="F59" s="1" t="str">
        <f>"H1259"</f>
        <v>H1259</v>
      </c>
      <c r="G59" s="1" t="str">
        <f>"반석기업"</f>
        <v>반석기업</v>
      </c>
      <c r="H59" s="1" t="str">
        <f t="shared" si="14"/>
        <v>Y</v>
      </c>
      <c r="I59" s="1" t="str">
        <f>"1"</f>
        <v>1</v>
      </c>
      <c r="J59" s="1" t="str">
        <f>"20230812"</f>
        <v>20230812</v>
      </c>
      <c r="K59" s="1" t="str">
        <f t="shared" si="8"/>
        <v>D</v>
      </c>
      <c r="L59" s="1" t="str">
        <f>"이상지질혈증+일반검진+IPA+톨루엔(크레졸)"</f>
        <v>이상지질혈증+일반검진+IPA+톨루엔(크레졸)</v>
      </c>
    </row>
    <row r="60" spans="1:12">
      <c r="A60" s="5" t="s">
        <v>1</v>
      </c>
      <c r="B60" s="1" t="str">
        <f>"10-06773"</f>
        <v>10-06773</v>
      </c>
      <c r="C60" s="1">
        <v>31280</v>
      </c>
      <c r="D60" s="1" t="str">
        <f>""</f>
        <v/>
      </c>
      <c r="E60" s="5" t="str">
        <f>"수첩"</f>
        <v>수첩</v>
      </c>
      <c r="F60" s="1" t="str">
        <f>"H1302"</f>
        <v>H1302</v>
      </c>
      <c r="G60" s="1" t="str">
        <f>"미래제관(심팩홀딩스)"</f>
        <v>미래제관(심팩홀딩스)</v>
      </c>
      <c r="H60" s="1" t="str">
        <f t="shared" si="14"/>
        <v>Y</v>
      </c>
      <c r="I60" s="1" t="str">
        <f>"1"</f>
        <v>1</v>
      </c>
      <c r="J60" s="1" t="str">
        <f>"20230720"</f>
        <v>20230720</v>
      </c>
      <c r="K60" s="1" t="str">
        <f t="shared" si="8"/>
        <v>D</v>
      </c>
      <c r="L60" s="1" t="str">
        <f>"일반검진+소음+용접흄+구리+망간+산화철+알루미늄+진동+자외선"</f>
        <v>일반검진+소음+용접흄+구리+망간+산화철+알루미늄+진동+자외선</v>
      </c>
    </row>
    <row r="61" spans="1:12">
      <c r="A61" s="5" t="s">
        <v>1</v>
      </c>
      <c r="B61" s="1" t="str">
        <f>"08-17442"</f>
        <v>08-17442</v>
      </c>
      <c r="C61" s="1">
        <v>57300</v>
      </c>
      <c r="D61" s="1" t="str">
        <f>""</f>
        <v/>
      </c>
      <c r="E61" s="5" t="str">
        <f>"수첩"</f>
        <v>수첩</v>
      </c>
      <c r="F61" s="1" t="str">
        <f>"H1302"</f>
        <v>H1302</v>
      </c>
      <c r="G61" s="1" t="str">
        <f>"미래제관(심팩홀딩스)"</f>
        <v>미래제관(심팩홀딩스)</v>
      </c>
      <c r="H61" s="1" t="str">
        <f t="shared" si="14"/>
        <v>Y</v>
      </c>
      <c r="I61" s="1" t="str">
        <f>"1"</f>
        <v>1</v>
      </c>
      <c r="J61" s="1" t="str">
        <f>"20230628"</f>
        <v>20230628</v>
      </c>
      <c r="K61" s="1" t="str">
        <f t="shared" si="8"/>
        <v>D</v>
      </c>
      <c r="L61" s="1" t="str">
        <f>"소음(배치전)+용접흄+구리+망간+산화철+알루미늄+진동+자외선"</f>
        <v>소음(배치전)+용접흄+구리+망간+산화철+알루미늄+진동+자외선</v>
      </c>
    </row>
    <row r="62" spans="1:12">
      <c r="A62" s="5" t="s">
        <v>1</v>
      </c>
      <c r="B62" s="1" t="str">
        <f>"11-12402"</f>
        <v>11-12402</v>
      </c>
      <c r="C62" s="1">
        <v>57300</v>
      </c>
      <c r="D62" s="1" t="str">
        <f>""</f>
        <v/>
      </c>
      <c r="E62" s="5" t="str">
        <f>"수첩"</f>
        <v>수첩</v>
      </c>
      <c r="F62" s="1" t="str">
        <f>"H1302"</f>
        <v>H1302</v>
      </c>
      <c r="G62" s="1" t="str">
        <f>"미래제관(심팩홀딩스)"</f>
        <v>미래제관(심팩홀딩스)</v>
      </c>
      <c r="H62" s="1" t="str">
        <f t="shared" si="14"/>
        <v>Y</v>
      </c>
      <c r="I62" s="1" t="str">
        <f>"1"</f>
        <v>1</v>
      </c>
      <c r="J62" s="1" t="str">
        <f>"20230814"</f>
        <v>20230814</v>
      </c>
      <c r="K62" s="1" t="str">
        <f t="shared" si="8"/>
        <v>D</v>
      </c>
      <c r="L62" s="1" t="str">
        <f>"소음(배치전)+용접흄+구리+망간+산화철+알루미늄+진동+자외선"</f>
        <v>소음(배치전)+용접흄+구리+망간+산화철+알루미늄+진동+자외선</v>
      </c>
    </row>
    <row r="63" spans="1:12">
      <c r="A63" s="5" t="s">
        <v>1</v>
      </c>
      <c r="B63" s="1" t="str">
        <f>"21-07533"</f>
        <v>21-07533</v>
      </c>
      <c r="C63" s="1">
        <v>54610</v>
      </c>
      <c r="D63" s="1" t="str">
        <f>""</f>
        <v/>
      </c>
      <c r="E63" s="5" t="str">
        <f>"수첩"</f>
        <v>수첩</v>
      </c>
      <c r="F63" s="1" t="str">
        <f>"H1370"</f>
        <v>H1370</v>
      </c>
      <c r="G63" s="1" t="str">
        <f>"(주)현대자동차정비공업사"</f>
        <v>(주)현대자동차정비공업사</v>
      </c>
      <c r="H63" s="1" t="str">
        <f t="shared" si="14"/>
        <v>Y</v>
      </c>
      <c r="I63" s="1" t="str">
        <f>"2"</f>
        <v>2</v>
      </c>
      <c r="J63" s="1" t="str">
        <f>"20230605"</f>
        <v>20230605</v>
      </c>
      <c r="K63" s="1" t="str">
        <f t="shared" si="8"/>
        <v>D</v>
      </c>
      <c r="L63" s="1" t="str">
        <f>"조혈기계2차"</f>
        <v>조혈기계2차</v>
      </c>
    </row>
    <row r="64" spans="1:12">
      <c r="A64" s="5" t="s">
        <v>1</v>
      </c>
      <c r="B64" s="1" t="str">
        <f>"21-07533"</f>
        <v>21-07533</v>
      </c>
      <c r="C64" s="1">
        <v>101570</v>
      </c>
      <c r="D64" s="1" t="str">
        <f>""</f>
        <v/>
      </c>
      <c r="E64" s="5" t="str">
        <f>"수첩"</f>
        <v>수첩</v>
      </c>
      <c r="F64" s="1" t="str">
        <f>"H1370"</f>
        <v>H1370</v>
      </c>
      <c r="G64" s="1" t="str">
        <f>"(주)현대자동차정비공업사"</f>
        <v>(주)현대자동차정비공업사</v>
      </c>
      <c r="H64" s="1" t="str">
        <f t="shared" si="14"/>
        <v>Y</v>
      </c>
      <c r="I64" s="1" t="str">
        <f>"1"</f>
        <v>1</v>
      </c>
      <c r="J64" s="1" t="str">
        <f>"20230401"</f>
        <v>20230401</v>
      </c>
      <c r="K64" s="1" t="str">
        <f t="shared" si="8"/>
        <v>D</v>
      </c>
      <c r="L64" s="1" t="str">
        <f>"광물성분진+MEK+MIBK+N-부탄올+디이소부틸케톤+메틸알코올+부틸셀로솔브+부틸셀로솔브아세테이트+스토다드솔벤트+스티렌+시클로헥사논+아세톤+아세트산2-에톡시에틸+에틸벤젠+이소부틸알코올+크실렌+테트라하이드로퓨란"</f>
        <v>광물성분진+MEK+MIBK+N-부탄올+디이소부틸케톤+메틸알코올+부틸셀로솔브+부틸셀로솔브아세테이트+스토다드솔벤트+스티렌+시클로헥사논+아세톤+아세트산2-에톡시에틸+에틸벤젠+이소부틸알코올+크실렌+테트라하이드로퓨란</v>
      </c>
    </row>
    <row r="65" spans="1:12">
      <c r="A65" s="5" t="s">
        <v>1</v>
      </c>
      <c r="B65" s="1" t="str">
        <f>"15-13395"</f>
        <v>15-13395</v>
      </c>
      <c r="C65" s="1">
        <v>10250</v>
      </c>
      <c r="D65" s="1" t="str">
        <f>""</f>
        <v/>
      </c>
      <c r="E65" s="5" t="str">
        <f>"수첩"</f>
        <v>수첩</v>
      </c>
      <c r="F65" s="1" t="str">
        <f>"H1488"</f>
        <v>H1488</v>
      </c>
      <c r="G65" s="1" t="str">
        <f>"김포레이저센터"</f>
        <v>김포레이저센터</v>
      </c>
      <c r="H65" s="1" t="str">
        <f t="shared" si="14"/>
        <v>Y</v>
      </c>
      <c r="I65" s="1" t="str">
        <f>"1"</f>
        <v>1</v>
      </c>
      <c r="J65" s="1" t="str">
        <f>"20230530"</f>
        <v>20230530</v>
      </c>
      <c r="K65" s="1" t="str">
        <f t="shared" si="8"/>
        <v>D</v>
      </c>
      <c r="L65" s="1" t="str">
        <f>"이상지질혈증+일반검진+정신건강검사+용접흄+아세톤+크롬+구리+니켈+망간+산화철+알루미늄+자외선"</f>
        <v>이상지질혈증+일반검진+정신건강검사+용접흄+아세톤+크롬+구리+니켈+망간+산화철+알루미늄+자외선</v>
      </c>
    </row>
    <row r="66" spans="1:12">
      <c r="A66" s="5" t="s">
        <v>1</v>
      </c>
      <c r="B66" s="1" t="str">
        <f>"23-04196"</f>
        <v>23-04196</v>
      </c>
      <c r="C66" s="1">
        <v>70460</v>
      </c>
      <c r="D66" s="1" t="str">
        <f>""</f>
        <v/>
      </c>
      <c r="E66" s="5" t="str">
        <f>"수첩"</f>
        <v>수첩</v>
      </c>
      <c r="F66" s="1" t="str">
        <f>"H1607"</f>
        <v>H1607</v>
      </c>
      <c r="G66" s="1" t="str">
        <f>"(주)원일경금속"</f>
        <v>(주)원일경금속</v>
      </c>
      <c r="H66" s="1" t="str">
        <f t="shared" si="14"/>
        <v>Y</v>
      </c>
      <c r="I66" s="1" t="str">
        <f>"1"</f>
        <v>1</v>
      </c>
      <c r="J66" s="1" t="str">
        <f>"20230429"</f>
        <v>20230429</v>
      </c>
      <c r="K66" s="1" t="str">
        <f t="shared" si="8"/>
        <v>D</v>
      </c>
      <c r="L66" s="1" t="str">
        <f>"소음+광물성분진+용접흄+디클로로메탄+아세톤+망간+산화철+알루미늄+진동+자외선+적외선+미네랄오일미스트"</f>
        <v>소음+광물성분진+용접흄+디클로로메탄+아세톤+망간+산화철+알루미늄+진동+자외선+적외선+미네랄오일미스트</v>
      </c>
    </row>
    <row r="67" spans="1:12">
      <c r="A67" s="5" t="s">
        <v>1</v>
      </c>
      <c r="B67" s="1" t="str">
        <f>"15-17292"</f>
        <v>15-17292</v>
      </c>
      <c r="C67" s="1">
        <v>31280</v>
      </c>
      <c r="D67" s="1" t="str">
        <f>""</f>
        <v/>
      </c>
      <c r="E67" s="5" t="str">
        <f>"수첩"</f>
        <v>수첩</v>
      </c>
      <c r="F67" s="1" t="str">
        <f>"H1607"</f>
        <v>H1607</v>
      </c>
      <c r="G67" s="1" t="str">
        <f>"(주)원일경금속"</f>
        <v>(주)원일경금속</v>
      </c>
      <c r="H67" s="1" t="str">
        <f t="shared" si="14"/>
        <v>Y</v>
      </c>
      <c r="I67" s="1" t="str">
        <f>"1"</f>
        <v>1</v>
      </c>
      <c r="J67" s="1" t="str">
        <f>"20230429"</f>
        <v>20230429</v>
      </c>
      <c r="K67" s="1" t="str">
        <f t="shared" si="8"/>
        <v>D</v>
      </c>
      <c r="L67" s="1" t="str">
        <f>"일반검진+소음+알루미늄+진동+적외선+미네랄오일미스트"</f>
        <v>일반검진+소음+알루미늄+진동+적외선+미네랄오일미스트</v>
      </c>
    </row>
    <row r="68" spans="1:12">
      <c r="A68" s="5" t="s">
        <v>1</v>
      </c>
      <c r="B68" s="1" t="str">
        <f>"15-17292"</f>
        <v>15-17292</v>
      </c>
      <c r="C68" s="1">
        <v>45400</v>
      </c>
      <c r="D68" s="1" t="str">
        <f>""</f>
        <v/>
      </c>
      <c r="E68" s="5" t="str">
        <f>"수첩"</f>
        <v>수첩</v>
      </c>
      <c r="F68" s="1" t="str">
        <f>"H1607"</f>
        <v>H1607</v>
      </c>
      <c r="G68" s="1" t="str">
        <f>"(주)원일경금속"</f>
        <v>(주)원일경금속</v>
      </c>
      <c r="H68" s="1" t="str">
        <f t="shared" si="14"/>
        <v>Y</v>
      </c>
      <c r="I68" s="1" t="str">
        <f>"2"</f>
        <v>2</v>
      </c>
      <c r="J68" s="1" t="str">
        <f>"20230916"</f>
        <v>20230916</v>
      </c>
      <c r="K68" s="1" t="str">
        <f t="shared" si="8"/>
        <v>D</v>
      </c>
      <c r="L68" s="1" t="str">
        <f>"소음"</f>
        <v>소음</v>
      </c>
    </row>
    <row r="69" spans="1:12">
      <c r="A69" s="5" t="s">
        <v>1</v>
      </c>
      <c r="B69" s="1" t="str">
        <f>"23-04197"</f>
        <v>23-04197</v>
      </c>
      <c r="C69" s="1">
        <v>31280</v>
      </c>
      <c r="D69" s="1" t="str">
        <f>""</f>
        <v/>
      </c>
      <c r="E69" s="5" t="str">
        <f>"수첩"</f>
        <v>수첩</v>
      </c>
      <c r="F69" s="1" t="str">
        <f>"H1607"</f>
        <v>H1607</v>
      </c>
      <c r="G69" s="1" t="str">
        <f>"(주)원일경금속"</f>
        <v>(주)원일경금속</v>
      </c>
      <c r="H69" s="1" t="str">
        <f t="shared" si="14"/>
        <v>Y</v>
      </c>
      <c r="I69" s="1" t="str">
        <f t="shared" ref="I69:I73" si="15">"1"</f>
        <v>1</v>
      </c>
      <c r="J69" s="1" t="str">
        <f>"20230429"</f>
        <v>20230429</v>
      </c>
      <c r="K69" s="1" t="str">
        <f t="shared" si="8"/>
        <v>D</v>
      </c>
      <c r="L69" s="1" t="str">
        <f>"이상지질혈증+일반검진+소음+알루미늄+진동+적외선+미네랄오일미스트"</f>
        <v>이상지질혈증+일반검진+소음+알루미늄+진동+적외선+미네랄오일미스트</v>
      </c>
    </row>
    <row r="70" spans="1:12">
      <c r="A70" s="5" t="s">
        <v>1</v>
      </c>
      <c r="B70" s="1" t="str">
        <f>"09-12706"</f>
        <v>09-12706</v>
      </c>
      <c r="C70" s="1">
        <v>28150</v>
      </c>
      <c r="D70" s="1" t="str">
        <f>""</f>
        <v/>
      </c>
      <c r="E70" s="5" t="str">
        <f>"수첩"</f>
        <v>수첩</v>
      </c>
      <c r="F70" s="1" t="str">
        <f t="shared" ref="F70:F77" si="16">"H1760"</f>
        <v>H1760</v>
      </c>
      <c r="G70" s="1" t="str">
        <f t="shared" ref="G70:G77" si="17">"(주)반도체인공업"</f>
        <v>(주)반도체인공업</v>
      </c>
      <c r="H70" s="1" t="str">
        <f t="shared" si="14"/>
        <v>Y</v>
      </c>
      <c r="I70" s="1" t="str">
        <f t="shared" si="15"/>
        <v>1</v>
      </c>
      <c r="J70" s="1" t="str">
        <f>"20230424"</f>
        <v>20230424</v>
      </c>
      <c r="K70" s="1" t="str">
        <f t="shared" ref="K70:K87" si="18">"D"</f>
        <v>D</v>
      </c>
      <c r="L70" s="1" t="str">
        <f>"일반검진+소음"</f>
        <v>일반검진+소음</v>
      </c>
    </row>
    <row r="71" spans="1:12">
      <c r="A71" s="5" t="s">
        <v>1</v>
      </c>
      <c r="B71" s="1" t="str">
        <f>"17-13912"</f>
        <v>17-13912</v>
      </c>
      <c r="C71" s="1">
        <v>28150</v>
      </c>
      <c r="D71" s="1" t="str">
        <f>""</f>
        <v/>
      </c>
      <c r="E71" s="5" t="str">
        <f>"수첩"</f>
        <v>수첩</v>
      </c>
      <c r="F71" s="1" t="str">
        <f t="shared" si="16"/>
        <v>H1760</v>
      </c>
      <c r="G71" s="1" t="str">
        <f t="shared" si="17"/>
        <v>(주)반도체인공업</v>
      </c>
      <c r="H71" s="1" t="str">
        <f t="shared" si="14"/>
        <v>Y</v>
      </c>
      <c r="I71" s="1" t="str">
        <f t="shared" si="15"/>
        <v>1</v>
      </c>
      <c r="J71" s="1" t="str">
        <f>"20230424"</f>
        <v>20230424</v>
      </c>
      <c r="K71" s="1" t="str">
        <f t="shared" si="18"/>
        <v>D</v>
      </c>
      <c r="L71" s="1" t="str">
        <f>"생활습관평가+일반검진+정신건강검사+소음"</f>
        <v>생활습관평가+일반검진+정신건강검사+소음</v>
      </c>
    </row>
    <row r="72" spans="1:12">
      <c r="A72" s="5" t="s">
        <v>1</v>
      </c>
      <c r="B72" s="1" t="str">
        <f>"09-12705"</f>
        <v>09-12705</v>
      </c>
      <c r="C72" s="1">
        <v>28150</v>
      </c>
      <c r="D72" s="1" t="str">
        <f>""</f>
        <v/>
      </c>
      <c r="E72" s="5" t="str">
        <f>"수첩"</f>
        <v>수첩</v>
      </c>
      <c r="F72" s="1" t="str">
        <f t="shared" si="16"/>
        <v>H1760</v>
      </c>
      <c r="G72" s="1" t="str">
        <f t="shared" si="17"/>
        <v>(주)반도체인공업</v>
      </c>
      <c r="H72" s="1" t="str">
        <f t="shared" si="14"/>
        <v>Y</v>
      </c>
      <c r="I72" s="1" t="str">
        <f t="shared" si="15"/>
        <v>1</v>
      </c>
      <c r="J72" s="1" t="str">
        <f>"20230424"</f>
        <v>20230424</v>
      </c>
      <c r="K72" s="1" t="str">
        <f t="shared" si="18"/>
        <v>D</v>
      </c>
      <c r="L72" s="1" t="str">
        <f>"일반검진+소음"</f>
        <v>일반검진+소음</v>
      </c>
    </row>
    <row r="73" spans="1:12">
      <c r="A73" s="5" t="s">
        <v>1</v>
      </c>
      <c r="B73" s="1" t="str">
        <f>"09-12712"</f>
        <v>09-12712</v>
      </c>
      <c r="C73" s="1">
        <v>28150</v>
      </c>
      <c r="D73" s="1" t="str">
        <f>""</f>
        <v/>
      </c>
      <c r="E73" s="5" t="str">
        <f>"수첩"</f>
        <v>수첩</v>
      </c>
      <c r="F73" s="1" t="str">
        <f t="shared" si="16"/>
        <v>H1760</v>
      </c>
      <c r="G73" s="1" t="str">
        <f t="shared" si="17"/>
        <v>(주)반도체인공업</v>
      </c>
      <c r="H73" s="1" t="str">
        <f t="shared" si="14"/>
        <v>Y</v>
      </c>
      <c r="I73" s="1" t="str">
        <f t="shared" si="15"/>
        <v>1</v>
      </c>
      <c r="J73" s="1" t="str">
        <f>"20230424"</f>
        <v>20230424</v>
      </c>
      <c r="K73" s="1" t="str">
        <f t="shared" si="18"/>
        <v>D</v>
      </c>
      <c r="L73" s="1" t="str">
        <f>"일반검진+소음"</f>
        <v>일반검진+소음</v>
      </c>
    </row>
    <row r="74" spans="1:12">
      <c r="A74" s="5" t="s">
        <v>1</v>
      </c>
      <c r="B74" s="1" t="str">
        <f>"09-12706"</f>
        <v>09-12706</v>
      </c>
      <c r="C74" s="1">
        <v>45400</v>
      </c>
      <c r="D74" s="1" t="str">
        <f>""</f>
        <v/>
      </c>
      <c r="E74" s="5" t="str">
        <f>"수첩"</f>
        <v>수첩</v>
      </c>
      <c r="F74" s="1" t="str">
        <f t="shared" si="16"/>
        <v>H1760</v>
      </c>
      <c r="G74" s="1" t="str">
        <f t="shared" si="17"/>
        <v>(주)반도체인공업</v>
      </c>
      <c r="H74" s="1" t="str">
        <f t="shared" si="14"/>
        <v>Y</v>
      </c>
      <c r="I74" s="1" t="str">
        <f>"2"</f>
        <v>2</v>
      </c>
      <c r="J74" s="1" t="str">
        <f>"20230520"</f>
        <v>20230520</v>
      </c>
      <c r="K74" s="1" t="str">
        <f t="shared" si="18"/>
        <v>D</v>
      </c>
      <c r="L74" s="1" t="str">
        <f>"소음"</f>
        <v>소음</v>
      </c>
    </row>
    <row r="75" spans="1:12">
      <c r="A75" s="5" t="s">
        <v>1</v>
      </c>
      <c r="B75" s="1" t="str">
        <f>"09-12705"</f>
        <v>09-12705</v>
      </c>
      <c r="C75" s="1">
        <v>45400</v>
      </c>
      <c r="D75" s="1" t="str">
        <f>""</f>
        <v/>
      </c>
      <c r="E75" s="5" t="str">
        <f>"수첩"</f>
        <v>수첩</v>
      </c>
      <c r="F75" s="1" t="str">
        <f t="shared" si="16"/>
        <v>H1760</v>
      </c>
      <c r="G75" s="1" t="str">
        <f t="shared" si="17"/>
        <v>(주)반도체인공업</v>
      </c>
      <c r="H75" s="1" t="str">
        <f t="shared" si="14"/>
        <v>Y</v>
      </c>
      <c r="I75" s="1" t="str">
        <f>"2"</f>
        <v>2</v>
      </c>
      <c r="J75" s="1" t="str">
        <f>"20230520"</f>
        <v>20230520</v>
      </c>
      <c r="K75" s="1" t="str">
        <f t="shared" si="18"/>
        <v>D</v>
      </c>
      <c r="L75" s="1" t="str">
        <f>"소음"</f>
        <v>소음</v>
      </c>
    </row>
    <row r="76" spans="1:12">
      <c r="A76" s="5" t="s">
        <v>1</v>
      </c>
      <c r="B76" s="1" t="str">
        <f>"17-13912"</f>
        <v>17-13912</v>
      </c>
      <c r="C76" s="1">
        <v>45400</v>
      </c>
      <c r="D76" s="1" t="str">
        <f>""</f>
        <v/>
      </c>
      <c r="E76" s="5" t="str">
        <f>"수첩"</f>
        <v>수첩</v>
      </c>
      <c r="F76" s="1" t="str">
        <f t="shared" si="16"/>
        <v>H1760</v>
      </c>
      <c r="G76" s="1" t="str">
        <f t="shared" si="17"/>
        <v>(주)반도체인공업</v>
      </c>
      <c r="H76" s="1" t="str">
        <f t="shared" si="14"/>
        <v>Y</v>
      </c>
      <c r="I76" s="1" t="str">
        <f>"2"</f>
        <v>2</v>
      </c>
      <c r="J76" s="1" t="str">
        <f>"20230520"</f>
        <v>20230520</v>
      </c>
      <c r="K76" s="1" t="str">
        <f t="shared" si="18"/>
        <v>D</v>
      </c>
      <c r="L76" s="1" t="str">
        <f>"소음"</f>
        <v>소음</v>
      </c>
    </row>
    <row r="77" spans="1:12">
      <c r="A77" s="5" t="s">
        <v>1</v>
      </c>
      <c r="B77" s="1" t="str">
        <f>"09-12712"</f>
        <v>09-12712</v>
      </c>
      <c r="C77" s="1">
        <v>45400</v>
      </c>
      <c r="D77" s="1" t="str">
        <f>""</f>
        <v/>
      </c>
      <c r="E77" s="5" t="str">
        <f>"수첩"</f>
        <v>수첩</v>
      </c>
      <c r="F77" s="1" t="str">
        <f t="shared" si="16"/>
        <v>H1760</v>
      </c>
      <c r="G77" s="1" t="str">
        <f t="shared" si="17"/>
        <v>(주)반도체인공업</v>
      </c>
      <c r="H77" s="1" t="str">
        <f t="shared" si="14"/>
        <v>Y</v>
      </c>
      <c r="I77" s="1" t="str">
        <f>"2"</f>
        <v>2</v>
      </c>
      <c r="J77" s="1" t="str">
        <f>"20230520"</f>
        <v>20230520</v>
      </c>
      <c r="K77" s="1" t="str">
        <f t="shared" si="18"/>
        <v>D</v>
      </c>
      <c r="L77" s="1" t="str">
        <f>"소음"</f>
        <v>소음</v>
      </c>
    </row>
    <row r="78" spans="1:12">
      <c r="A78" s="4" t="s">
        <v>4</v>
      </c>
      <c r="B78" s="1" t="str">
        <f>"11-03679"</f>
        <v>11-03679</v>
      </c>
      <c r="C78" s="1">
        <v>141540</v>
      </c>
      <c r="D78" s="1" t="str">
        <f>""</f>
        <v/>
      </c>
      <c r="E78" s="1" t="str">
        <f>"2"</f>
        <v>2</v>
      </c>
      <c r="F78" s="1" t="str">
        <f>"H1934"</f>
        <v>H1934</v>
      </c>
      <c r="G78" s="1" t="str">
        <f>"경원산업(주) (대곶)"</f>
        <v>경원산업(주) (대곶)</v>
      </c>
      <c r="H78" s="1" t="str">
        <f t="shared" si="14"/>
        <v>Y</v>
      </c>
      <c r="I78" s="4" t="str">
        <f>"2"</f>
        <v>2</v>
      </c>
      <c r="J78" s="1" t="str">
        <f>"20230909"</f>
        <v>20230909</v>
      </c>
      <c r="K78" s="1" t="str">
        <f t="shared" si="18"/>
        <v>D</v>
      </c>
      <c r="L78" s="1" t="str">
        <f>"호흡기계2차HRCT+호흡기계2차"</f>
        <v>호흡기계2차HRCT+호흡기계2차</v>
      </c>
    </row>
    <row r="79" spans="1:12">
      <c r="A79" s="5" t="s">
        <v>1</v>
      </c>
      <c r="B79" s="1" t="str">
        <f>"08-12409"</f>
        <v>08-12409</v>
      </c>
      <c r="C79" s="1">
        <v>57300</v>
      </c>
      <c r="D79" s="1" t="str">
        <f>""</f>
        <v/>
      </c>
      <c r="E79" s="5" t="str">
        <f>"수첩"</f>
        <v>수첩</v>
      </c>
      <c r="F79" s="1" t="str">
        <f>"H2144"</f>
        <v>H2144</v>
      </c>
      <c r="G79" s="1" t="str">
        <f>"주식회사 명성엘엔텍"</f>
        <v>주식회사 명성엘엔텍</v>
      </c>
      <c r="H79" s="1" t="str">
        <f t="shared" si="14"/>
        <v>Y</v>
      </c>
      <c r="I79" s="1" t="str">
        <f>"1"</f>
        <v>1</v>
      </c>
      <c r="J79" s="1" t="str">
        <f>"20230901"</f>
        <v>20230901</v>
      </c>
      <c r="K79" s="1" t="str">
        <f t="shared" si="18"/>
        <v>D</v>
      </c>
      <c r="L79" s="1" t="str">
        <f>"소음+용접흄+유리섬유분진+크롬+구리+니켈+망간+산화아연+산화철+알루미늄+진동+자외선+미네랄오일미스트"</f>
        <v>소음+용접흄+유리섬유분진+크롬+구리+니켈+망간+산화아연+산화철+알루미늄+진동+자외선+미네랄오일미스트</v>
      </c>
    </row>
    <row r="80" spans="1:12">
      <c r="A80" s="5" t="s">
        <v>1</v>
      </c>
      <c r="B80" s="1" t="str">
        <f>"15-14912"</f>
        <v>15-14912</v>
      </c>
      <c r="C80" s="1">
        <v>86030</v>
      </c>
      <c r="D80" s="1" t="str">
        <f>""</f>
        <v/>
      </c>
      <c r="E80" s="5" t="str">
        <f>"수첩"</f>
        <v>수첩</v>
      </c>
      <c r="F80" s="1" t="str">
        <f>"H2306"</f>
        <v>H2306</v>
      </c>
      <c r="G80" s="1" t="str">
        <f>"공간찬넬(주) 인천"</f>
        <v>공간찬넬(주) 인천</v>
      </c>
      <c r="H80" s="1" t="str">
        <f t="shared" si="14"/>
        <v>Y</v>
      </c>
      <c r="I80" s="1" t="str">
        <f>"1"</f>
        <v>1</v>
      </c>
      <c r="J80" s="1" t="str">
        <f>"20230531"</f>
        <v>20230531</v>
      </c>
      <c r="K80" s="1" t="str">
        <f t="shared" si="18"/>
        <v>D</v>
      </c>
      <c r="L80" s="1" t="str">
        <f>"소음+크롬+구리+니켈+시안화나트륨+시안화수소+염화수소+질산+황산"</f>
        <v>소음+크롬+구리+니켈+시안화나트륨+시안화수소+염화수소+질산+황산</v>
      </c>
    </row>
    <row r="81" spans="1:12">
      <c r="A81" s="4" t="s">
        <v>4</v>
      </c>
      <c r="B81" s="1" t="str">
        <f>"17-14693"</f>
        <v>17-14693</v>
      </c>
      <c r="C81" s="1">
        <v>38950</v>
      </c>
      <c r="D81" s="1" t="str">
        <f>""</f>
        <v/>
      </c>
      <c r="E81" s="1" t="str">
        <f>"2"</f>
        <v>2</v>
      </c>
      <c r="F81" s="1" t="str">
        <f>"H2363"</f>
        <v>H2363</v>
      </c>
      <c r="G81" s="1" t="str">
        <f>"유성산업(한국기전금속)"</f>
        <v>유성산업(한국기전금속)</v>
      </c>
      <c r="H81" s="1" t="str">
        <f t="shared" si="14"/>
        <v>Y</v>
      </c>
      <c r="I81" s="4" t="str">
        <f>"2"</f>
        <v>2</v>
      </c>
      <c r="J81" s="1" t="str">
        <f>"20230320"</f>
        <v>20230320</v>
      </c>
      <c r="K81" s="1" t="str">
        <f t="shared" si="18"/>
        <v>D</v>
      </c>
      <c r="L81" s="1" t="str">
        <f>"조혈기계2차4종"</f>
        <v>조혈기계2차4종</v>
      </c>
    </row>
    <row r="82" spans="1:12">
      <c r="A82" s="5" t="s">
        <v>1</v>
      </c>
      <c r="B82" s="1" t="str">
        <f>"15-07697"</f>
        <v>15-07697</v>
      </c>
      <c r="C82" s="1">
        <v>36750</v>
      </c>
      <c r="D82" s="1" t="str">
        <f>""</f>
        <v/>
      </c>
      <c r="E82" s="5" t="str">
        <f>"수첩"</f>
        <v>수첩</v>
      </c>
      <c r="F82" s="1" t="str">
        <f>"H2411"</f>
        <v>H2411</v>
      </c>
      <c r="G82" s="1" t="str">
        <f>"주식회사 태림합판"</f>
        <v>주식회사 태림합판</v>
      </c>
      <c r="H82" s="1" t="str">
        <f t="shared" si="14"/>
        <v>Y</v>
      </c>
      <c r="I82" s="1" t="str">
        <f>"1"</f>
        <v>1</v>
      </c>
      <c r="J82" s="1" t="str">
        <f>"20230118"</f>
        <v>20230118</v>
      </c>
      <c r="K82" s="1" t="str">
        <f t="shared" si="18"/>
        <v>D</v>
      </c>
      <c r="L82" s="1" t="str">
        <f>"이상지질혈증+일반검진+MDI+톨루엔(크레졸)"</f>
        <v>이상지질혈증+일반검진+MDI+톨루엔(크레졸)</v>
      </c>
    </row>
    <row r="83" spans="1:12">
      <c r="A83" s="5" t="s">
        <v>1</v>
      </c>
      <c r="B83" s="1" t="str">
        <f>"20-14279"</f>
        <v>20-14279</v>
      </c>
      <c r="C83" s="1">
        <v>49480</v>
      </c>
      <c r="D83" s="1" t="str">
        <f>""</f>
        <v/>
      </c>
      <c r="E83" s="5" t="str">
        <f>"수첩"</f>
        <v>수첩</v>
      </c>
      <c r="F83" s="1" t="str">
        <f>"H2411"</f>
        <v>H2411</v>
      </c>
      <c r="G83" s="1" t="str">
        <f>"주식회사 태림합판"</f>
        <v>주식회사 태림합판</v>
      </c>
      <c r="H83" s="1" t="str">
        <f t="shared" si="14"/>
        <v>Y</v>
      </c>
      <c r="I83" s="1" t="str">
        <f>"1"</f>
        <v>1</v>
      </c>
      <c r="J83" s="1" t="str">
        <f>"20230118"</f>
        <v>20230118</v>
      </c>
      <c r="K83" s="1" t="str">
        <f t="shared" si="18"/>
        <v>D</v>
      </c>
      <c r="L83" s="1" t="str">
        <f>"일반검진+정신건강검사+야간작업+MDI+톨루엔(크레졸)"</f>
        <v>일반검진+정신건강검사+야간작업+MDI+톨루엔(크레졸)</v>
      </c>
    </row>
    <row r="84" spans="1:12">
      <c r="A84" s="5" t="s">
        <v>1</v>
      </c>
      <c r="B84" s="1" t="str">
        <f>"18-20754"</f>
        <v>18-20754</v>
      </c>
      <c r="C84" s="1">
        <v>36750</v>
      </c>
      <c r="D84" s="1" t="str">
        <f>""</f>
        <v/>
      </c>
      <c r="E84" s="5" t="str">
        <f>"수첩"</f>
        <v>수첩</v>
      </c>
      <c r="F84" s="1" t="str">
        <f>"H2411"</f>
        <v>H2411</v>
      </c>
      <c r="G84" s="1" t="str">
        <f>"주식회사 태림합판"</f>
        <v>주식회사 태림합판</v>
      </c>
      <c r="H84" s="1" t="str">
        <f t="shared" si="14"/>
        <v>Y</v>
      </c>
      <c r="I84" s="1" t="str">
        <f>"1"</f>
        <v>1</v>
      </c>
      <c r="J84" s="1" t="str">
        <f>"20230118"</f>
        <v>20230118</v>
      </c>
      <c r="K84" s="1" t="str">
        <f t="shared" si="18"/>
        <v>D</v>
      </c>
      <c r="L84" s="1" t="str">
        <f>"이상지질혈증+일반검진+정신건강검사+MDI+톨루엔(크레졸)"</f>
        <v>이상지질혈증+일반검진+정신건강검사+MDI+톨루엔(크레졸)</v>
      </c>
    </row>
    <row r="85" spans="1:12">
      <c r="A85" s="5" t="s">
        <v>1</v>
      </c>
      <c r="B85" s="1" t="str">
        <f>"20-14491"</f>
        <v>20-14491</v>
      </c>
      <c r="C85" s="1">
        <v>36750</v>
      </c>
      <c r="D85" s="1" t="str">
        <f>""</f>
        <v/>
      </c>
      <c r="E85" s="5" t="str">
        <f>"수첩"</f>
        <v>수첩</v>
      </c>
      <c r="F85" s="1" t="str">
        <f>"H2411"</f>
        <v>H2411</v>
      </c>
      <c r="G85" s="1" t="str">
        <f>"주식회사 태림합판"</f>
        <v>주식회사 태림합판</v>
      </c>
      <c r="H85" s="1" t="str">
        <f t="shared" si="14"/>
        <v>Y</v>
      </c>
      <c r="I85" s="1" t="str">
        <f>"1"</f>
        <v>1</v>
      </c>
      <c r="J85" s="1" t="str">
        <f>"20230118"</f>
        <v>20230118</v>
      </c>
      <c r="K85" s="1" t="str">
        <f t="shared" si="18"/>
        <v>D</v>
      </c>
      <c r="L85" s="1" t="str">
        <f>"B형간염+생활습관평가+이상지질혈증+일반검진+정신건강검사+치면세균막+MDI+톨루엔(크레졸)"</f>
        <v>B형간염+생활습관평가+이상지질혈증+일반검진+정신건강검사+치면세균막+MDI+톨루엔(크레졸)</v>
      </c>
    </row>
    <row r="86" spans="1:12">
      <c r="A86" s="5" t="s">
        <v>1</v>
      </c>
      <c r="B86" s="1" t="str">
        <f>"09-14518"</f>
        <v>09-14518</v>
      </c>
      <c r="C86" s="1">
        <v>54870</v>
      </c>
      <c r="D86" s="1" t="str">
        <f>""</f>
        <v/>
      </c>
      <c r="E86" s="5" t="str">
        <f>"수첩"</f>
        <v>수첩</v>
      </c>
      <c r="F86" s="1" t="str">
        <f>"H2414"</f>
        <v>H2414</v>
      </c>
      <c r="G86" s="1" t="str">
        <f>"(주)화이어대상"</f>
        <v>(주)화이어대상</v>
      </c>
      <c r="H86" s="1" t="str">
        <f t="shared" ref="H86:H117" si="19">"Y"</f>
        <v>Y</v>
      </c>
      <c r="I86" s="1" t="str">
        <f>"1"</f>
        <v>1</v>
      </c>
      <c r="J86" s="1" t="str">
        <f>"20230603"</f>
        <v>20230603</v>
      </c>
      <c r="K86" s="1" t="str">
        <f t="shared" si="18"/>
        <v>D</v>
      </c>
      <c r="L86" s="1" t="str">
        <f>"일반검진+광물성분진+납(연)+구리+산화아연"</f>
        <v>일반검진+광물성분진+납(연)+구리+산화아연</v>
      </c>
    </row>
    <row r="87" spans="1:12">
      <c r="A87" s="5" t="s">
        <v>1</v>
      </c>
      <c r="B87" s="1" t="str">
        <f>"09-14518"</f>
        <v>09-14518</v>
      </c>
      <c r="C87" s="1">
        <v>151240</v>
      </c>
      <c r="D87" s="1" t="str">
        <f>""</f>
        <v/>
      </c>
      <c r="E87" s="5" t="str">
        <f>"수첩"</f>
        <v>수첩</v>
      </c>
      <c r="F87" s="1" t="str">
        <f>"H2414"</f>
        <v>H2414</v>
      </c>
      <c r="G87" s="1" t="str">
        <f>"(주)화이어대상"</f>
        <v>(주)화이어대상</v>
      </c>
      <c r="H87" s="1" t="str">
        <f t="shared" si="19"/>
        <v>Y</v>
      </c>
      <c r="I87" s="1" t="str">
        <f>"2"</f>
        <v>2</v>
      </c>
      <c r="J87" s="1" t="str">
        <f>"20230812"</f>
        <v>20230812</v>
      </c>
      <c r="K87" s="1" t="str">
        <f t="shared" si="18"/>
        <v>D</v>
      </c>
      <c r="L87" s="1" t="str">
        <f>"조혈기계2차4종+납2차(생물학적)"</f>
        <v>조혈기계2차4종+납2차(생물학적)</v>
      </c>
    </row>
    <row r="88" spans="1:12">
      <c r="A88" s="5" t="s">
        <v>14</v>
      </c>
      <c r="B88" s="1" t="str">
        <f>"04-14486"</f>
        <v>04-14486</v>
      </c>
      <c r="C88" s="1">
        <v>47920</v>
      </c>
      <c r="D88" s="1" t="str">
        <f>""</f>
        <v/>
      </c>
      <c r="E88" s="5" t="str">
        <f>"수첩"</f>
        <v>수첩</v>
      </c>
      <c r="F88" s="1" t="str">
        <f>"H2648"</f>
        <v>H2648</v>
      </c>
      <c r="G88" s="1" t="str">
        <f>"다우금속"</f>
        <v>다우금속</v>
      </c>
      <c r="H88" s="1" t="str">
        <f t="shared" si="19"/>
        <v>Y</v>
      </c>
      <c r="I88" s="1" t="str">
        <f>"2"</f>
        <v>2</v>
      </c>
      <c r="J88" s="1" t="str">
        <f>"20231104"</f>
        <v>20231104</v>
      </c>
      <c r="K88" s="5" t="str">
        <f>"B"</f>
        <v>B</v>
      </c>
      <c r="L88" s="1" t="str">
        <f>"호흡기계2차"</f>
        <v>호흡기계2차</v>
      </c>
    </row>
    <row r="89" spans="1:12">
      <c r="A89" s="5" t="s">
        <v>1</v>
      </c>
      <c r="B89" s="1" t="str">
        <f>"04-14486"</f>
        <v>04-14486</v>
      </c>
      <c r="C89" s="1">
        <v>27810</v>
      </c>
      <c r="D89" s="1" t="str">
        <f>""</f>
        <v/>
      </c>
      <c r="E89" s="5" t="str">
        <f>"수첩"</f>
        <v>수첩</v>
      </c>
      <c r="F89" s="1" t="str">
        <f>"H2648"</f>
        <v>H2648</v>
      </c>
      <c r="G89" s="1" t="str">
        <f>"다우금속"</f>
        <v>다우금속</v>
      </c>
      <c r="H89" s="1" t="str">
        <f t="shared" si="19"/>
        <v>Y</v>
      </c>
      <c r="I89" s="1" t="str">
        <f>"1"</f>
        <v>1</v>
      </c>
      <c r="J89" s="1" t="str">
        <f>"20230906"</f>
        <v>20230906</v>
      </c>
      <c r="K89" s="5" t="str">
        <f t="shared" ref="K89:K135" si="20">"D"</f>
        <v>D</v>
      </c>
      <c r="L89" s="1" t="str">
        <f>"용접흄+망간+산화철+진동+자외선"</f>
        <v>용접흄+망간+산화철+진동+자외선</v>
      </c>
    </row>
    <row r="90" spans="1:12">
      <c r="A90" s="5" t="s">
        <v>1</v>
      </c>
      <c r="B90" s="1" t="str">
        <f>"19-04269"</f>
        <v>19-04269</v>
      </c>
      <c r="C90" s="1">
        <v>34700</v>
      </c>
      <c r="D90" s="1" t="str">
        <f>""</f>
        <v/>
      </c>
      <c r="E90" s="5" t="str">
        <f>"수첩"</f>
        <v>수첩</v>
      </c>
      <c r="F90" s="1" t="str">
        <f>"H2687"</f>
        <v>H2687</v>
      </c>
      <c r="G90" s="1" t="str">
        <f>"검단메디컬요양원"</f>
        <v>검단메디컬요양원</v>
      </c>
      <c r="H90" s="1" t="str">
        <f t="shared" si="19"/>
        <v>Y</v>
      </c>
      <c r="I90" s="1" t="str">
        <f>"1"</f>
        <v>1</v>
      </c>
      <c r="J90" s="1" t="str">
        <f>"20230426"</f>
        <v>20230426</v>
      </c>
      <c r="K90" s="5" t="str">
        <f t="shared" si="20"/>
        <v>D</v>
      </c>
      <c r="L90" s="1" t="str">
        <f>"일반검진+정신건강검사+야간작업"</f>
        <v>일반검진+정신건강검사+야간작업</v>
      </c>
    </row>
    <row r="91" spans="1:12">
      <c r="A91" s="5" t="s">
        <v>1</v>
      </c>
      <c r="B91" s="1" t="str">
        <f>"02-07408"</f>
        <v>02-07408</v>
      </c>
      <c r="C91" s="1">
        <v>31280</v>
      </c>
      <c r="D91" s="1" t="str">
        <f>""</f>
        <v/>
      </c>
      <c r="E91" s="5" t="str">
        <f>"수첩"</f>
        <v>수첩</v>
      </c>
      <c r="F91" s="1" t="str">
        <f>"H2743"</f>
        <v>H2743</v>
      </c>
      <c r="G91" s="1" t="str">
        <f>"(주)대우강건"</f>
        <v>(주)대우강건</v>
      </c>
      <c r="H91" s="1" t="str">
        <f t="shared" si="19"/>
        <v>Y</v>
      </c>
      <c r="I91" s="1" t="str">
        <f>"1"</f>
        <v>1</v>
      </c>
      <c r="J91" s="1" t="str">
        <f>"20230725"</f>
        <v>20230725</v>
      </c>
      <c r="K91" s="1" t="str">
        <f t="shared" si="20"/>
        <v>D</v>
      </c>
      <c r="L91" s="1" t="str">
        <f>"일반검진+소음+광물성분진+용접흄+망간+산화철+자외선"</f>
        <v>일반검진+소음+광물성분진+용접흄+망간+산화철+자외선</v>
      </c>
    </row>
    <row r="92" spans="1:12">
      <c r="A92" s="5" t="s">
        <v>1</v>
      </c>
      <c r="B92" s="1" t="str">
        <f>"08-05946"</f>
        <v>08-05946</v>
      </c>
      <c r="C92" s="1">
        <v>31280</v>
      </c>
      <c r="D92" s="1" t="str">
        <f>""</f>
        <v/>
      </c>
      <c r="E92" s="5" t="str">
        <f>"수첩"</f>
        <v>수첩</v>
      </c>
      <c r="F92" s="1" t="str">
        <f>"H2743"</f>
        <v>H2743</v>
      </c>
      <c r="G92" s="1" t="str">
        <f>"(주)대우강건"</f>
        <v>(주)대우강건</v>
      </c>
      <c r="H92" s="1" t="str">
        <f t="shared" si="19"/>
        <v>Y</v>
      </c>
      <c r="I92" s="1" t="str">
        <f>"1"</f>
        <v>1</v>
      </c>
      <c r="J92" s="1" t="str">
        <f>"20230725"</f>
        <v>20230725</v>
      </c>
      <c r="K92" s="1" t="str">
        <f t="shared" si="20"/>
        <v>D</v>
      </c>
      <c r="L92" s="1" t="str">
        <f>"생활습관평가+이상지질혈증+일반검진+정신건강검사+소음+광물성분진+용접흄+망간+산화철+자외선"</f>
        <v>생활습관평가+이상지질혈증+일반검진+정신건강검사+소음+광물성분진+용접흄+망간+산화철+자외선</v>
      </c>
    </row>
    <row r="93" spans="1:12">
      <c r="A93" s="5" t="s">
        <v>1</v>
      </c>
      <c r="B93" s="1" t="str">
        <f>"23-06974"</f>
        <v>23-06974</v>
      </c>
      <c r="C93" s="1">
        <v>20240</v>
      </c>
      <c r="D93" s="1" t="str">
        <f>""</f>
        <v/>
      </c>
      <c r="E93" s="5" t="str">
        <f>"수첩"</f>
        <v>수첩</v>
      </c>
      <c r="F93" s="1" t="str">
        <f>"H2834"</f>
        <v>H2834</v>
      </c>
      <c r="G93" s="1" t="str">
        <f>"이경화학 주식회사"</f>
        <v>이경화학 주식회사</v>
      </c>
      <c r="H93" s="1" t="str">
        <f t="shared" si="19"/>
        <v>Y</v>
      </c>
      <c r="I93" s="1" t="str">
        <f>"1"</f>
        <v>1</v>
      </c>
      <c r="J93" s="1" t="str">
        <f>"20230605"</f>
        <v>20230605</v>
      </c>
      <c r="K93" s="1" t="str">
        <f t="shared" si="20"/>
        <v>D</v>
      </c>
      <c r="L93" s="1" t="s">
        <v>0</v>
      </c>
    </row>
    <row r="94" spans="1:12">
      <c r="A94" s="5" t="s">
        <v>1</v>
      </c>
      <c r="B94" s="1" t="str">
        <f>"23-06974"</f>
        <v>23-06974</v>
      </c>
      <c r="C94" s="1">
        <v>21850</v>
      </c>
      <c r="D94" s="1" t="str">
        <f>""</f>
        <v/>
      </c>
      <c r="E94" s="5" t="str">
        <f>"수첩"</f>
        <v>수첩</v>
      </c>
      <c r="F94" s="1" t="str">
        <f>"H2834"</f>
        <v>H2834</v>
      </c>
      <c r="G94" s="1" t="str">
        <f>"이경화학 주식회사"</f>
        <v>이경화학 주식회사</v>
      </c>
      <c r="H94" s="1" t="str">
        <f t="shared" si="19"/>
        <v>Y</v>
      </c>
      <c r="I94" s="1" t="str">
        <f>"2"</f>
        <v>2</v>
      </c>
      <c r="J94" s="1" t="str">
        <f>"20230803"</f>
        <v>20230803</v>
      </c>
      <c r="K94" s="1" t="str">
        <f t="shared" si="20"/>
        <v>D</v>
      </c>
      <c r="L94" s="1" t="str">
        <f>"비뇨기계2차"</f>
        <v>비뇨기계2차</v>
      </c>
    </row>
    <row r="95" spans="1:12">
      <c r="A95" s="5" t="s">
        <v>1</v>
      </c>
      <c r="B95" s="1" t="str">
        <f>"23-06974"</f>
        <v>23-06974</v>
      </c>
      <c r="C95" s="1">
        <v>52350</v>
      </c>
      <c r="D95" s="1" t="str">
        <f>""</f>
        <v/>
      </c>
      <c r="E95" s="5" t="str">
        <f>"수첩"</f>
        <v>수첩</v>
      </c>
      <c r="F95" s="1" t="str">
        <f>"H2834"</f>
        <v>H2834</v>
      </c>
      <c r="G95" s="1" t="str">
        <f>"이경화학 주식회사"</f>
        <v>이경화학 주식회사</v>
      </c>
      <c r="H95" s="1" t="str">
        <f t="shared" si="19"/>
        <v>Y</v>
      </c>
      <c r="I95" s="1" t="str">
        <f>"1"</f>
        <v>1</v>
      </c>
      <c r="J95" s="1" t="str">
        <f>"20230712"</f>
        <v>20230712</v>
      </c>
      <c r="K95" s="1" t="str">
        <f t="shared" si="20"/>
        <v>D</v>
      </c>
      <c r="L95" s="1" t="str">
        <f>"N.N-DMA"</f>
        <v>N.N-DMA</v>
      </c>
    </row>
    <row r="96" spans="1:12">
      <c r="A96" s="5" t="s">
        <v>1</v>
      </c>
      <c r="B96" s="1" t="str">
        <f>"19-14565"</f>
        <v>19-14565</v>
      </c>
      <c r="C96" s="1">
        <v>132000</v>
      </c>
      <c r="D96" s="1" t="str">
        <f>""</f>
        <v/>
      </c>
      <c r="E96" s="5" t="str">
        <f>"수첩"</f>
        <v>수첩</v>
      </c>
      <c r="F96" s="1" t="str">
        <f>"H2888"</f>
        <v>H2888</v>
      </c>
      <c r="G96" s="1" t="str">
        <f>"주식회사율산기업"</f>
        <v>주식회사율산기업</v>
      </c>
      <c r="H96" s="1" t="str">
        <f t="shared" si="19"/>
        <v>Y</v>
      </c>
      <c r="I96" s="1" t="str">
        <f>"1"</f>
        <v>1</v>
      </c>
      <c r="J96" s="1" t="str">
        <f>"20230524"</f>
        <v>20230524</v>
      </c>
      <c r="K96" s="1" t="str">
        <f t="shared" si="20"/>
        <v>D</v>
      </c>
      <c r="L96" s="1" t="str">
        <f>"일반검진+소음+1.2-DCE+1.2-디클로로프로판+IPA+TCE+디클로로메탄+클로로포름+크롬+구리+니켈+산화아연+주석(무기)+코발트+불화수소+시안화나트륨+시안화수소+염화수소+질산+황산"</f>
        <v>일반검진+소음+1.2-DCE+1.2-디클로로프로판+IPA+TCE+디클로로메탄+클로로포름+크롬+구리+니켈+산화아연+주석(무기)+코발트+불화수소+시안화나트륨+시안화수소+염화수소+질산+황산</v>
      </c>
    </row>
    <row r="97" spans="1:12">
      <c r="A97" s="5" t="s">
        <v>1</v>
      </c>
      <c r="B97" s="1" t="str">
        <f>"18-05624"</f>
        <v>18-05624</v>
      </c>
      <c r="C97" s="1">
        <v>48540</v>
      </c>
      <c r="D97" s="1" t="str">
        <f>""</f>
        <v/>
      </c>
      <c r="E97" s="5" t="str">
        <f>"수첩"</f>
        <v>수첩</v>
      </c>
      <c r="F97" s="1" t="str">
        <f>"H2905"</f>
        <v>H2905</v>
      </c>
      <c r="G97" s="1" t="str">
        <f>"한진금속"</f>
        <v>한진금속</v>
      </c>
      <c r="H97" s="1" t="str">
        <f t="shared" si="19"/>
        <v>Y</v>
      </c>
      <c r="I97" s="1" t="str">
        <f>"1"</f>
        <v>1</v>
      </c>
      <c r="J97" s="1" t="str">
        <f>"20230522"</f>
        <v>20230522</v>
      </c>
      <c r="K97" s="1" t="str">
        <f t="shared" si="20"/>
        <v>D</v>
      </c>
      <c r="L97" s="1" t="str">
        <f>"일반검진+정신건강검사+광물성분진+크롬+구리+니켈+산화아연+코발트+시안화나트륨+시안화수소+염화수소+질산+황산"</f>
        <v>일반검진+정신건강검사+광물성분진+크롬+구리+니켈+산화아연+코발트+시안화나트륨+시안화수소+염화수소+질산+황산</v>
      </c>
    </row>
    <row r="98" spans="1:12">
      <c r="A98" s="5" t="s">
        <v>1</v>
      </c>
      <c r="B98" s="1" t="str">
        <f>"18-05617"</f>
        <v>18-05617</v>
      </c>
      <c r="C98" s="1">
        <v>188690</v>
      </c>
      <c r="D98" s="1" t="str">
        <f>""</f>
        <v/>
      </c>
      <c r="E98" s="5" t="str">
        <f>"수첩"</f>
        <v>수첩</v>
      </c>
      <c r="F98" s="1" t="str">
        <f>"H2912"</f>
        <v>H2912</v>
      </c>
      <c r="G98" s="1" t="str">
        <f>"(주)이레금속"</f>
        <v>(주)이레금속</v>
      </c>
      <c r="H98" s="1" t="str">
        <f t="shared" si="19"/>
        <v>Y</v>
      </c>
      <c r="I98" s="1" t="str">
        <f>"1"</f>
        <v>1</v>
      </c>
      <c r="J98" s="1" t="str">
        <f>"20230525"</f>
        <v>20230525</v>
      </c>
      <c r="K98" s="1" t="str">
        <f t="shared" si="20"/>
        <v>D</v>
      </c>
      <c r="L98" s="1" t="str">
        <f>"일반검진+1.2-DCE+1.2-디클로로프로판+IPA+MIBK+PCE+TCE+디에틸렌트리아민+디클로로메탄+메틸클로로포름+부틸셀로솔브+에틸벤젠+크실렌+클로로포름+크롬+구리+니켈+산화아연+주석(무기)+코발트+텅스텐+시안화나트륨+시안화수소"</f>
        <v>일반검진+1.2-DCE+1.2-디클로로프로판+IPA+MIBK+PCE+TCE+디에틸렌트리아민+디클로로메탄+메틸클로로포름+부틸셀로솔브+에틸벤젠+크실렌+클로로포름+크롬+구리+니켈+산화아연+주석(무기)+코발트+텅스텐+시안화나트륨+시안화수소</v>
      </c>
    </row>
    <row r="99" spans="1:12">
      <c r="A99" s="5" t="s">
        <v>1</v>
      </c>
      <c r="B99" s="1" t="str">
        <f>"18-05617"</f>
        <v>18-05617</v>
      </c>
      <c r="C99" s="1">
        <v>68510</v>
      </c>
      <c r="D99" s="1" t="str">
        <f>""</f>
        <v/>
      </c>
      <c r="E99" s="5" t="str">
        <f>"수첩"</f>
        <v>수첩</v>
      </c>
      <c r="F99" s="1" t="str">
        <f>"H2912"</f>
        <v>H2912</v>
      </c>
      <c r="G99" s="1" t="str">
        <f>"(주)이레금속"</f>
        <v>(주)이레금속</v>
      </c>
      <c r="H99" s="1" t="str">
        <f t="shared" si="19"/>
        <v>Y</v>
      </c>
      <c r="I99" s="1" t="str">
        <f>"2"</f>
        <v>2</v>
      </c>
      <c r="J99" s="1" t="str">
        <f>"20230801"</f>
        <v>20230801</v>
      </c>
      <c r="K99" s="1" t="str">
        <f t="shared" si="20"/>
        <v>D</v>
      </c>
      <c r="L99" s="1" t="str">
        <f>"간담도계2차"</f>
        <v>간담도계2차</v>
      </c>
    </row>
    <row r="100" spans="1:12">
      <c r="A100" s="4" t="s">
        <v>4</v>
      </c>
      <c r="B100" s="1" t="str">
        <f>"21-03857"</f>
        <v>21-03857</v>
      </c>
      <c r="C100" s="1">
        <v>61650</v>
      </c>
      <c r="D100" s="1" t="str">
        <f>""</f>
        <v/>
      </c>
      <c r="E100" s="1" t="str">
        <f>"2"</f>
        <v>2</v>
      </c>
      <c r="F100" s="1" t="str">
        <f>"H2945"</f>
        <v>H2945</v>
      </c>
      <c r="G100" s="1" t="str">
        <f>"성일테크원 주식회사"</f>
        <v>성일테크원 주식회사</v>
      </c>
      <c r="H100" s="1" t="str">
        <f t="shared" si="19"/>
        <v>Y</v>
      </c>
      <c r="I100" s="4" t="str">
        <f>"2"</f>
        <v>2</v>
      </c>
      <c r="J100" s="1" t="str">
        <f>"20230607"</f>
        <v>20230607</v>
      </c>
      <c r="K100" s="1" t="str">
        <f t="shared" si="20"/>
        <v>D</v>
      </c>
      <c r="L100" s="1" t="str">
        <f>"간담도계2차"</f>
        <v>간담도계2차</v>
      </c>
    </row>
    <row r="101" spans="1:12">
      <c r="A101" s="4" t="s">
        <v>4</v>
      </c>
      <c r="B101" s="1" t="str">
        <f>"21-03856"</f>
        <v>21-03856</v>
      </c>
      <c r="C101" s="1">
        <v>40860</v>
      </c>
      <c r="D101" s="1" t="str">
        <f>""</f>
        <v/>
      </c>
      <c r="E101" s="1" t="str">
        <f>"2"</f>
        <v>2</v>
      </c>
      <c r="F101" s="1" t="str">
        <f>"H2945"</f>
        <v>H2945</v>
      </c>
      <c r="G101" s="1" t="str">
        <f>"성일테크원 주식회사"</f>
        <v>성일테크원 주식회사</v>
      </c>
      <c r="H101" s="1" t="str">
        <f t="shared" si="19"/>
        <v>Y</v>
      </c>
      <c r="I101" s="4" t="str">
        <f>"2"</f>
        <v>2</v>
      </c>
      <c r="J101" s="1" t="str">
        <f>"20230607"</f>
        <v>20230607</v>
      </c>
      <c r="K101" s="1" t="str">
        <f t="shared" si="20"/>
        <v>D</v>
      </c>
      <c r="L101" s="1" t="str">
        <f>"소음"</f>
        <v>소음</v>
      </c>
    </row>
    <row r="102" spans="1:12">
      <c r="A102" s="5" t="s">
        <v>1</v>
      </c>
      <c r="B102" s="1" t="str">
        <f>"20-06040"</f>
        <v>20-06040</v>
      </c>
      <c r="C102" s="1">
        <v>31280</v>
      </c>
      <c r="D102" s="1" t="str">
        <f>""</f>
        <v/>
      </c>
      <c r="E102" s="5" t="str">
        <f>"수첩"</f>
        <v>수첩</v>
      </c>
      <c r="F102" s="1" t="str">
        <f>"H2992"</f>
        <v>H2992</v>
      </c>
      <c r="G102" s="1" t="str">
        <f>"(주)창성메탈"</f>
        <v>(주)창성메탈</v>
      </c>
      <c r="H102" s="1" t="str">
        <f t="shared" si="19"/>
        <v>Y</v>
      </c>
      <c r="I102" s="1" t="str">
        <f>"1"</f>
        <v>1</v>
      </c>
      <c r="J102" s="1" t="str">
        <f>"20230729"</f>
        <v>20230729</v>
      </c>
      <c r="K102" s="1" t="str">
        <f t="shared" si="20"/>
        <v>D</v>
      </c>
      <c r="L102" s="1" t="str">
        <f>"일반검진+소음"</f>
        <v>일반검진+소음</v>
      </c>
    </row>
    <row r="103" spans="1:12">
      <c r="A103" s="5" t="s">
        <v>1</v>
      </c>
      <c r="B103" s="1" t="str">
        <f>"19-05268"</f>
        <v>19-05268</v>
      </c>
      <c r="C103" s="1">
        <v>140510</v>
      </c>
      <c r="D103" s="1" t="str">
        <f>""</f>
        <v/>
      </c>
      <c r="E103" s="5" t="str">
        <f>"수첩"</f>
        <v>수첩</v>
      </c>
      <c r="F103" s="1" t="str">
        <f>"H3054"</f>
        <v>H3054</v>
      </c>
      <c r="G103" s="1" t="str">
        <f>"명주금속"</f>
        <v>명주금속</v>
      </c>
      <c r="H103" s="1" t="str">
        <f t="shared" si="19"/>
        <v>Y</v>
      </c>
      <c r="I103" s="1" t="str">
        <f>"1"</f>
        <v>1</v>
      </c>
      <c r="J103" s="1" t="str">
        <f>"20230522"</f>
        <v>20230522</v>
      </c>
      <c r="K103" s="1" t="str">
        <f t="shared" si="20"/>
        <v>D</v>
      </c>
      <c r="L103" s="1" t="str">
        <f>"1.2-DCE+1.2-디클로로프로판+TCE+디클로로메탄+클로로포름+크롬+구리+니켈+주석(무기)+시안화나트륨+시안화수소+시안화칼륨+염화수소+질산+황산"</f>
        <v>1.2-DCE+1.2-디클로로프로판+TCE+디클로로메탄+클로로포름+크롬+구리+니켈+주석(무기)+시안화나트륨+시안화수소+시안화칼륨+염화수소+질산+황산</v>
      </c>
    </row>
    <row r="104" spans="1:12">
      <c r="A104" s="5" t="s">
        <v>1</v>
      </c>
      <c r="B104" s="1" t="str">
        <f>"08-22355"</f>
        <v>08-22355</v>
      </c>
      <c r="C104" s="1">
        <v>94300</v>
      </c>
      <c r="D104" s="1" t="str">
        <f>""</f>
        <v/>
      </c>
      <c r="E104" s="5" t="str">
        <f>"수첩"</f>
        <v>수첩</v>
      </c>
      <c r="F104" s="1" t="str">
        <f>"H3166"</f>
        <v>H3166</v>
      </c>
      <c r="G104" s="1" t="str">
        <f>"신도열기(주)"</f>
        <v>신도열기(주)</v>
      </c>
      <c r="H104" s="1" t="str">
        <f t="shared" si="19"/>
        <v>Y</v>
      </c>
      <c r="I104" s="1" t="str">
        <f>"1"</f>
        <v>1</v>
      </c>
      <c r="J104" s="1" t="str">
        <f>"20230829"</f>
        <v>20230829</v>
      </c>
      <c r="K104" s="1" t="str">
        <f t="shared" si="20"/>
        <v>D</v>
      </c>
      <c r="L104" s="1" t="str">
        <f>"일반검진+광물성분진+용접흄+1.2-DCE+1.2-디클로로프로판+TCE+디클로로메탄+클로로포름+크롬+니켈+망간+산화철+알루미늄+자외선+미네랄오일미스트"</f>
        <v>일반검진+광물성분진+용접흄+1.2-DCE+1.2-디클로로프로판+TCE+디클로로메탄+클로로포름+크롬+니켈+망간+산화철+알루미늄+자외선+미네랄오일미스트</v>
      </c>
    </row>
    <row r="105" spans="1:12">
      <c r="A105" s="5" t="s">
        <v>1</v>
      </c>
      <c r="B105" s="1" t="str">
        <f>"23-10284"</f>
        <v>23-10284</v>
      </c>
      <c r="C105" s="1">
        <v>80540</v>
      </c>
      <c r="D105" s="1" t="str">
        <f>""</f>
        <v/>
      </c>
      <c r="E105" s="5" t="str">
        <f>"수첩"</f>
        <v>수첩</v>
      </c>
      <c r="F105" s="1" t="str">
        <f>"H3166"</f>
        <v>H3166</v>
      </c>
      <c r="G105" s="1" t="str">
        <f>"신도열기(주)"</f>
        <v>신도열기(주)</v>
      </c>
      <c r="H105" s="1" t="str">
        <f t="shared" si="19"/>
        <v>Y</v>
      </c>
      <c r="I105" s="1" t="str">
        <f>"1"</f>
        <v>1</v>
      </c>
      <c r="J105" s="1" t="str">
        <f>"20230829"</f>
        <v>20230829</v>
      </c>
      <c r="K105" s="1" t="str">
        <f t="shared" si="20"/>
        <v>D</v>
      </c>
      <c r="L105" s="1" t="str">
        <f>"이상지질혈증+일반검진+광물성분진+용접흄+1.2-DCE+1.2-디클로로프로판+TCE+디클로로메탄+클로로포름+크롬+니켈+망간+산화철+알루미늄+자외선+미네랄오일미스트"</f>
        <v>이상지질혈증+일반검진+광물성분진+용접흄+1.2-DCE+1.2-디클로로프로판+TCE+디클로로메탄+클로로포름+크롬+니켈+망간+산화철+알루미늄+자외선+미네랄오일미스트</v>
      </c>
    </row>
    <row r="106" spans="1:12">
      <c r="A106" s="5" t="s">
        <v>1</v>
      </c>
      <c r="B106" s="1" t="str">
        <f>"23-10284"</f>
        <v>23-10284</v>
      </c>
      <c r="C106" s="1">
        <v>68510</v>
      </c>
      <c r="D106" s="1" t="str">
        <f>""</f>
        <v/>
      </c>
      <c r="E106" s="5" t="str">
        <f>"수첩"</f>
        <v>수첩</v>
      </c>
      <c r="F106" s="1" t="str">
        <f>"H3166"</f>
        <v>H3166</v>
      </c>
      <c r="G106" s="1" t="str">
        <f>"신도열기(주)"</f>
        <v>신도열기(주)</v>
      </c>
      <c r="H106" s="1" t="str">
        <f t="shared" si="19"/>
        <v>Y</v>
      </c>
      <c r="I106" s="1" t="str">
        <f>"2"</f>
        <v>2</v>
      </c>
      <c r="J106" s="1" t="str">
        <f>"20231110"</f>
        <v>20231110</v>
      </c>
      <c r="K106" s="1" t="str">
        <f t="shared" si="20"/>
        <v>D</v>
      </c>
      <c r="L106" s="1" t="str">
        <f>"간담도계2차"</f>
        <v>간담도계2차</v>
      </c>
    </row>
    <row r="107" spans="1:12">
      <c r="A107" s="5" t="s">
        <v>1</v>
      </c>
      <c r="B107" s="1" t="str">
        <f>"18-01238"</f>
        <v>18-01238</v>
      </c>
      <c r="C107" s="1">
        <v>45400</v>
      </c>
      <c r="D107" s="1" t="str">
        <f>""</f>
        <v/>
      </c>
      <c r="E107" s="5" t="str">
        <f>"수첩"</f>
        <v>수첩</v>
      </c>
      <c r="F107" s="1" t="str">
        <f>"H3175"</f>
        <v>H3175</v>
      </c>
      <c r="G107" s="1" t="str">
        <f>"(주)진흥S.N.T"</f>
        <v>(주)진흥S.N.T</v>
      </c>
      <c r="H107" s="1" t="str">
        <f t="shared" si="19"/>
        <v>Y</v>
      </c>
      <c r="I107" s="1" t="str">
        <f>"2"</f>
        <v>2</v>
      </c>
      <c r="J107" s="1" t="str">
        <f>"20231031"</f>
        <v>20231031</v>
      </c>
      <c r="K107" s="1" t="str">
        <f t="shared" si="20"/>
        <v>D</v>
      </c>
      <c r="L107" s="1" t="str">
        <f>"소음"</f>
        <v>소음</v>
      </c>
    </row>
    <row r="108" spans="1:12">
      <c r="A108" s="5" t="s">
        <v>1</v>
      </c>
      <c r="B108" s="1" t="str">
        <f>"21-26101"</f>
        <v>21-26101</v>
      </c>
      <c r="C108" s="1">
        <v>45400</v>
      </c>
      <c r="D108" s="1" t="str">
        <f>""</f>
        <v/>
      </c>
      <c r="E108" s="5" t="str">
        <f>"수첩"</f>
        <v>수첩</v>
      </c>
      <c r="F108" s="1" t="str">
        <f>"H3175"</f>
        <v>H3175</v>
      </c>
      <c r="G108" s="1" t="str">
        <f>"(주)진흥S.N.T"</f>
        <v>(주)진흥S.N.T</v>
      </c>
      <c r="H108" s="1" t="str">
        <f t="shared" si="19"/>
        <v>Y</v>
      </c>
      <c r="I108" s="1" t="str">
        <f>"2"</f>
        <v>2</v>
      </c>
      <c r="J108" s="1" t="str">
        <f>"20231031"</f>
        <v>20231031</v>
      </c>
      <c r="K108" s="1" t="str">
        <f t="shared" si="20"/>
        <v>D</v>
      </c>
      <c r="L108" s="1" t="str">
        <f>"소음"</f>
        <v>소음</v>
      </c>
    </row>
    <row r="109" spans="1:12">
      <c r="A109" s="5" t="s">
        <v>1</v>
      </c>
      <c r="B109" s="1" t="str">
        <f>"18-20412"</f>
        <v>18-20412</v>
      </c>
      <c r="C109" s="1">
        <v>47170</v>
      </c>
      <c r="D109" s="1" t="str">
        <f>""</f>
        <v/>
      </c>
      <c r="E109" s="5" t="str">
        <f>"수첩"</f>
        <v>수첩</v>
      </c>
      <c r="F109" s="1" t="str">
        <f>"H3177"</f>
        <v>H3177</v>
      </c>
      <c r="G109" s="1" t="str">
        <f>"(주)학운몰드"</f>
        <v>(주)학운몰드</v>
      </c>
      <c r="H109" s="1" t="str">
        <f t="shared" si="19"/>
        <v>Y</v>
      </c>
      <c r="I109" s="1" t="str">
        <f t="shared" ref="I109:I117" si="21">"1"</f>
        <v>1</v>
      </c>
      <c r="J109" s="1" t="str">
        <f>"20230904"</f>
        <v>20230904</v>
      </c>
      <c r="K109" s="1" t="str">
        <f t="shared" si="20"/>
        <v>D</v>
      </c>
      <c r="L109" s="1" t="str">
        <f>"일반검진+야간작업+소음+광물성분진+페놀+포름알데히드+산화철+지르코니움"</f>
        <v>일반검진+야간작업+소음+광물성분진+페놀+포름알데히드+산화철+지르코니움</v>
      </c>
    </row>
    <row r="110" spans="1:12">
      <c r="A110" s="5" t="s">
        <v>1</v>
      </c>
      <c r="B110" s="1" t="str">
        <f>"18-20402"</f>
        <v>18-20402</v>
      </c>
      <c r="C110" s="1">
        <v>87740</v>
      </c>
      <c r="D110" s="1" t="str">
        <f>""</f>
        <v/>
      </c>
      <c r="E110" s="5" t="str">
        <f>"수첩"</f>
        <v>수첩</v>
      </c>
      <c r="F110" s="1" t="str">
        <f>"H3177"</f>
        <v>H3177</v>
      </c>
      <c r="G110" s="1" t="str">
        <f>"(주)학운몰드"</f>
        <v>(주)학운몰드</v>
      </c>
      <c r="H110" s="1" t="str">
        <f t="shared" si="19"/>
        <v>Y</v>
      </c>
      <c r="I110" s="1" t="str">
        <f t="shared" si="21"/>
        <v>1</v>
      </c>
      <c r="J110" s="1" t="str">
        <f>"20230901"</f>
        <v>20230901</v>
      </c>
      <c r="K110" s="1" t="str">
        <f t="shared" si="20"/>
        <v>D</v>
      </c>
      <c r="L110" s="1" t="str">
        <f>"야간작업+소음+광물성분진+페놀+포름알데히드+산화철+지르코니움"</f>
        <v>야간작업+소음+광물성분진+페놀+포름알데히드+산화철+지르코니움</v>
      </c>
    </row>
    <row r="111" spans="1:12">
      <c r="A111" s="5" t="s">
        <v>1</v>
      </c>
      <c r="B111" s="1" t="str">
        <f>"23-10377"</f>
        <v>23-10377</v>
      </c>
      <c r="C111" s="1">
        <v>47170</v>
      </c>
      <c r="D111" s="1" t="str">
        <f>""</f>
        <v/>
      </c>
      <c r="E111" s="5" t="str">
        <f>"수첩"</f>
        <v>수첩</v>
      </c>
      <c r="F111" s="1" t="str">
        <f>"H3177"</f>
        <v>H3177</v>
      </c>
      <c r="G111" s="1" t="str">
        <f>"(주)학운몰드"</f>
        <v>(주)학운몰드</v>
      </c>
      <c r="H111" s="1" t="str">
        <f t="shared" si="19"/>
        <v>Y</v>
      </c>
      <c r="I111" s="1" t="str">
        <f t="shared" si="21"/>
        <v>1</v>
      </c>
      <c r="J111" s="1" t="str">
        <f>"20230904"</f>
        <v>20230904</v>
      </c>
      <c r="K111" s="1" t="str">
        <f t="shared" si="20"/>
        <v>D</v>
      </c>
      <c r="L111" s="1" t="str">
        <f>"일반검진+야간작업+소음+광물성분진+페놀+포름알데히드+산화철+지르코니움"</f>
        <v>일반검진+야간작업+소음+광물성분진+페놀+포름알데히드+산화철+지르코니움</v>
      </c>
    </row>
    <row r="112" spans="1:12">
      <c r="A112" s="5" t="s">
        <v>1</v>
      </c>
      <c r="B112" s="1" t="str">
        <f>"21-07749"</f>
        <v>21-07749</v>
      </c>
      <c r="C112" s="1">
        <v>110970</v>
      </c>
      <c r="D112" s="1" t="str">
        <f>""</f>
        <v/>
      </c>
      <c r="E112" s="5" t="str">
        <f>"수첩"</f>
        <v>수첩</v>
      </c>
      <c r="F112" s="1" t="str">
        <f>"H3186"</f>
        <v>H3186</v>
      </c>
      <c r="G112" s="1" t="str">
        <f>"제이엠금속"</f>
        <v>제이엠금속</v>
      </c>
      <c r="H112" s="1" t="str">
        <f t="shared" si="19"/>
        <v>Y</v>
      </c>
      <c r="I112" s="1" t="str">
        <f t="shared" si="21"/>
        <v>1</v>
      </c>
      <c r="J112" s="1" t="str">
        <f>"20230524"</f>
        <v>20230524</v>
      </c>
      <c r="K112" s="1" t="str">
        <f t="shared" si="20"/>
        <v>D</v>
      </c>
      <c r="L112" s="1" t="str">
        <f>"일반검진+1.2-DCE+1.2-디클로로프로판+TCE+디클로로메탄+클로로포름+크롬+구리+니켈+시안화나트륨+시안화수소+염화수소+질산+황산"</f>
        <v>일반검진+1.2-DCE+1.2-디클로로프로판+TCE+디클로로메탄+클로로포름+크롬+구리+니켈+시안화나트륨+시안화수소+염화수소+질산+황산</v>
      </c>
    </row>
    <row r="113" spans="1:12">
      <c r="A113" s="5" t="s">
        <v>1</v>
      </c>
      <c r="B113" s="1" t="str">
        <f>"20-04571"</f>
        <v>20-04571</v>
      </c>
      <c r="C113" s="1">
        <v>97210</v>
      </c>
      <c r="D113" s="1" t="str">
        <f>""</f>
        <v/>
      </c>
      <c r="E113" s="5" t="str">
        <f>"수첩"</f>
        <v>수첩</v>
      </c>
      <c r="F113" s="1" t="str">
        <f>"H3276"</f>
        <v>H3276</v>
      </c>
      <c r="G113" s="1" t="str">
        <f>"금성도금"</f>
        <v>금성도금</v>
      </c>
      <c r="H113" s="1" t="str">
        <f t="shared" si="19"/>
        <v>Y</v>
      </c>
      <c r="I113" s="1" t="str">
        <f t="shared" si="21"/>
        <v>1</v>
      </c>
      <c r="J113" s="1" t="str">
        <f>"20230525"</f>
        <v>20230525</v>
      </c>
      <c r="K113" s="1" t="str">
        <f t="shared" si="20"/>
        <v>D</v>
      </c>
      <c r="L113" s="1" t="str">
        <f>"이상지질혈증+일반검진+정신건강검사+1.2-DCE+1.2-디클로로프로판+IPA+TCE+디클로로메탄+클로로포름+크롬+구리+니켈+시안화나트륨+시안화수소+염화수소+질산+황산"</f>
        <v>이상지질혈증+일반검진+정신건강검사+1.2-DCE+1.2-디클로로프로판+IPA+TCE+디클로로메탄+클로로포름+크롬+구리+니켈+시안화나트륨+시안화수소+염화수소+질산+황산</v>
      </c>
    </row>
    <row r="114" spans="1:12">
      <c r="A114" s="5" t="s">
        <v>1</v>
      </c>
      <c r="B114" s="1" t="str">
        <f>"19-05399"</f>
        <v>19-05399</v>
      </c>
      <c r="C114" s="1">
        <v>192790</v>
      </c>
      <c r="D114" s="1" t="str">
        <f>""</f>
        <v/>
      </c>
      <c r="E114" s="5" t="str">
        <f>"수첩"</f>
        <v>수첩</v>
      </c>
      <c r="F114" s="1" t="str">
        <f>"H3286"</f>
        <v>H3286</v>
      </c>
      <c r="G114" s="1" t="str">
        <f>"(주)한일금속도금"</f>
        <v>(주)한일금속도금</v>
      </c>
      <c r="H114" s="1" t="str">
        <f t="shared" si="19"/>
        <v>Y</v>
      </c>
      <c r="I114" s="1" t="str">
        <f t="shared" si="21"/>
        <v>1</v>
      </c>
      <c r="J114" s="1" t="str">
        <f>"20230525"</f>
        <v>20230525</v>
      </c>
      <c r="K114" s="1" t="str">
        <f t="shared" si="20"/>
        <v>D</v>
      </c>
      <c r="L114" s="1" t="str">
        <f>"1.2-DCE+1.2-디클로로프로판+MEK+MIBK+TCE+디클로로메탄+메틸알코올+부틸셀로솔브+아세톤+아세트산2-에톡시에틸+크실렌+클로로포름+톨루엔(크레졸)+크롬+구리+니켈+주석(무기)+시안화나트륨+시안화수소"</f>
        <v>1.2-DCE+1.2-디클로로프로판+MEK+MIBK+TCE+디클로로메탄+메틸알코올+부틸셀로솔브+아세톤+아세트산2-에톡시에틸+크실렌+클로로포름+톨루엔(크레졸)+크롬+구리+니켈+주석(무기)+시안화나트륨+시안화수소</v>
      </c>
    </row>
    <row r="115" spans="1:12">
      <c r="A115" s="5" t="s">
        <v>1</v>
      </c>
      <c r="B115" s="1" t="str">
        <f>"23-06271"</f>
        <v>23-06271</v>
      </c>
      <c r="C115" s="1">
        <v>74560</v>
      </c>
      <c r="D115" s="1" t="str">
        <f>""</f>
        <v/>
      </c>
      <c r="E115" s="5" t="str">
        <f>"수첩"</f>
        <v>수첩</v>
      </c>
      <c r="F115" s="1" t="str">
        <f>"H3290"</f>
        <v>H3290</v>
      </c>
      <c r="G115" s="1" t="str">
        <f>"주식회사 티와이피"</f>
        <v>주식회사 티와이피</v>
      </c>
      <c r="H115" s="1" t="str">
        <f t="shared" si="19"/>
        <v>Y</v>
      </c>
      <c r="I115" s="1" t="str">
        <f t="shared" si="21"/>
        <v>1</v>
      </c>
      <c r="J115" s="1" t="str">
        <f>"20230525"</f>
        <v>20230525</v>
      </c>
      <c r="K115" s="1" t="str">
        <f t="shared" si="20"/>
        <v>D</v>
      </c>
      <c r="L115" s="1" t="str">
        <f>"IPA+크롬+구리+니켈+불화수소+시안화나트륨+시안화수소+염화수소+질산+황산"</f>
        <v>IPA+크롬+구리+니켈+불화수소+시안화나트륨+시안화수소+염화수소+질산+황산</v>
      </c>
    </row>
    <row r="116" spans="1:12">
      <c r="A116" s="5" t="s">
        <v>1</v>
      </c>
      <c r="B116" s="1" t="str">
        <f>"19-07992"</f>
        <v>19-07992</v>
      </c>
      <c r="C116" s="1">
        <v>37820</v>
      </c>
      <c r="D116" s="1" t="str">
        <f>""</f>
        <v/>
      </c>
      <c r="E116" s="5" t="str">
        <f>"수첩"</f>
        <v>수첩</v>
      </c>
      <c r="F116" s="1" t="str">
        <f>"H3342"</f>
        <v>H3342</v>
      </c>
      <c r="G116" s="1" t="str">
        <f>"성영로보틱스 주식회사"</f>
        <v>성영로보틱스 주식회사</v>
      </c>
      <c r="H116" s="1" t="str">
        <f t="shared" si="19"/>
        <v>Y</v>
      </c>
      <c r="I116" s="1" t="str">
        <f t="shared" si="21"/>
        <v>1</v>
      </c>
      <c r="J116" s="1" t="str">
        <f>"20230508"</f>
        <v>20230508</v>
      </c>
      <c r="K116" s="1" t="str">
        <f t="shared" si="20"/>
        <v>D</v>
      </c>
      <c r="L116" s="1" t="str">
        <f>"일반검진+IPA+MEK+톨루엔(크레졸)"</f>
        <v>일반검진+IPA+MEK+톨루엔(크레졸)</v>
      </c>
    </row>
    <row r="117" spans="1:12">
      <c r="A117" s="5" t="s">
        <v>1</v>
      </c>
      <c r="B117" s="1" t="str">
        <f>"20-04658"</f>
        <v>20-04658</v>
      </c>
      <c r="C117" s="1">
        <v>135450</v>
      </c>
      <c r="D117" s="1" t="str">
        <f>""</f>
        <v/>
      </c>
      <c r="E117" s="5" t="str">
        <f>"수첩"</f>
        <v>수첩</v>
      </c>
      <c r="F117" s="1" t="str">
        <f>"H3546"</f>
        <v>H3546</v>
      </c>
      <c r="G117" s="1" t="str">
        <f>"성우표면처리"</f>
        <v>성우표면처리</v>
      </c>
      <c r="H117" s="1" t="str">
        <f t="shared" si="19"/>
        <v>Y</v>
      </c>
      <c r="I117" s="1" t="str">
        <f t="shared" si="21"/>
        <v>1</v>
      </c>
      <c r="J117" s="1" t="str">
        <f>"20230524"</f>
        <v>20230524</v>
      </c>
      <c r="K117" s="1" t="str">
        <f t="shared" si="20"/>
        <v>D</v>
      </c>
      <c r="L117" s="1" t="str">
        <f>"소음+부틸셀로솔브+아세톤+톨루엔(크레졸)+크롬+니켈+산화아연+코발트+시안화나트륨+시안화수소+염화수소+질산+황산"</f>
        <v>소음+부틸셀로솔브+아세톤+톨루엔(크레졸)+크롬+니켈+산화아연+코발트+시안화나트륨+시안화수소+염화수소+질산+황산</v>
      </c>
    </row>
    <row r="118" spans="1:12">
      <c r="A118" s="5" t="s">
        <v>1</v>
      </c>
      <c r="B118" s="1" t="str">
        <f>"19-14555"</f>
        <v>19-14555</v>
      </c>
      <c r="C118" s="1">
        <v>72290</v>
      </c>
      <c r="D118" s="1" t="str">
        <f>""</f>
        <v/>
      </c>
      <c r="E118" s="5" t="str">
        <f>"수첩"</f>
        <v>수첩</v>
      </c>
      <c r="F118" s="1" t="str">
        <f>"H3546"</f>
        <v>H3546</v>
      </c>
      <c r="G118" s="1" t="str">
        <f>"성우표면처리"</f>
        <v>성우표면처리</v>
      </c>
      <c r="H118" s="1" t="str">
        <f t="shared" ref="H118:H149" si="22">"Y"</f>
        <v>Y</v>
      </c>
      <c r="I118" s="1" t="str">
        <f>"2"</f>
        <v>2</v>
      </c>
      <c r="J118" s="1" t="str">
        <f>"20230728"</f>
        <v>20230728</v>
      </c>
      <c r="K118" s="1" t="str">
        <f t="shared" si="20"/>
        <v>D</v>
      </c>
      <c r="L118" s="1" t="str">
        <f>"소음+조혈기계2차4종"</f>
        <v>소음+조혈기계2차4종</v>
      </c>
    </row>
    <row r="119" spans="1:12">
      <c r="A119" s="5" t="s">
        <v>1</v>
      </c>
      <c r="B119" s="1" t="str">
        <f>"19-14555"</f>
        <v>19-14555</v>
      </c>
      <c r="C119" s="1">
        <v>135450</v>
      </c>
      <c r="D119" s="1" t="str">
        <f>""</f>
        <v/>
      </c>
      <c r="E119" s="5" t="str">
        <f>"수첩"</f>
        <v>수첩</v>
      </c>
      <c r="F119" s="1" t="str">
        <f>"H3546"</f>
        <v>H3546</v>
      </c>
      <c r="G119" s="1" t="str">
        <f>"성우표면처리"</f>
        <v>성우표면처리</v>
      </c>
      <c r="H119" s="1" t="str">
        <f t="shared" si="22"/>
        <v>Y</v>
      </c>
      <c r="I119" s="1" t="str">
        <f>"1"</f>
        <v>1</v>
      </c>
      <c r="J119" s="1" t="str">
        <f>"20230524"</f>
        <v>20230524</v>
      </c>
      <c r="K119" s="1" t="str">
        <f t="shared" si="20"/>
        <v>D</v>
      </c>
      <c r="L119" s="1" t="str">
        <f>"소음+부틸셀로솔브+아세톤+톨루엔(크레졸)+크롬+니켈+산화아연+코발트+시안화나트륨+시안화수소+염화수소+질산+황산"</f>
        <v>소음+부틸셀로솔브+아세톤+톨루엔(크레졸)+크롬+니켈+산화아연+코발트+시안화나트륨+시안화수소+염화수소+질산+황산</v>
      </c>
    </row>
    <row r="120" spans="1:12">
      <c r="A120" s="5" t="s">
        <v>1</v>
      </c>
      <c r="B120" s="1" t="str">
        <f>"19-14909"</f>
        <v>19-14909</v>
      </c>
      <c r="C120" s="1">
        <v>38950</v>
      </c>
      <c r="D120" s="1" t="str">
        <f>""</f>
        <v/>
      </c>
      <c r="E120" s="5" t="str">
        <f>"수첩"</f>
        <v>수첩</v>
      </c>
      <c r="F120" s="1" t="str">
        <f>"H3558"</f>
        <v>H3558</v>
      </c>
      <c r="G120" s="1" t="str">
        <f>"재영테크"</f>
        <v>재영테크</v>
      </c>
      <c r="H120" s="1" t="str">
        <f t="shared" si="22"/>
        <v>Y</v>
      </c>
      <c r="I120" s="1" t="str">
        <f>"2"</f>
        <v>2</v>
      </c>
      <c r="J120" s="1" t="str">
        <f>"20230801"</f>
        <v>20230801</v>
      </c>
      <c r="K120" s="1" t="str">
        <f t="shared" si="20"/>
        <v>D</v>
      </c>
      <c r="L120" s="1" t="str">
        <f>"조혈기계2차4종"</f>
        <v>조혈기계2차4종</v>
      </c>
    </row>
    <row r="121" spans="1:12">
      <c r="A121" s="5" t="s">
        <v>1</v>
      </c>
      <c r="B121" s="1" t="str">
        <f>"21-07947"</f>
        <v>21-07947</v>
      </c>
      <c r="C121" s="1">
        <v>95160</v>
      </c>
      <c r="D121" s="1" t="str">
        <f>""</f>
        <v/>
      </c>
      <c r="E121" s="5" t="str">
        <f>"수첩"</f>
        <v>수첩</v>
      </c>
      <c r="F121" s="1" t="str">
        <f>"H3558"</f>
        <v>H3558</v>
      </c>
      <c r="G121" s="1" t="str">
        <f>"재영테크"</f>
        <v>재영테크</v>
      </c>
      <c r="H121" s="1" t="str">
        <f t="shared" si="22"/>
        <v>Y</v>
      </c>
      <c r="I121" s="1" t="str">
        <f>"1"</f>
        <v>1</v>
      </c>
      <c r="J121" s="1" t="str">
        <f>"20230522"</f>
        <v>20230522</v>
      </c>
      <c r="K121" s="1" t="str">
        <f t="shared" si="20"/>
        <v>D</v>
      </c>
      <c r="L121" s="1" t="str">
        <f>"이상지질혈증+일반검진+정신건강검사+IPA+MIBK+N-부탄올+메틸알코올+셀로솔브+스티렌+아세톤+에틸벤젠+이소부틸알코올+크실렌+톨루엔(크레졸)+크롬+구리+니켈+산화아연+알루미늄+시안화나트륨+시안화수소+염화수소+황산"</f>
        <v>이상지질혈증+일반검진+정신건강검사+IPA+MIBK+N-부탄올+메틸알코올+셀로솔브+스티렌+아세톤+에틸벤젠+이소부틸알코올+크실렌+톨루엔(크레졸)+크롬+구리+니켈+산화아연+알루미늄+시안화나트륨+시안화수소+염화수소+황산</v>
      </c>
    </row>
    <row r="122" spans="1:12">
      <c r="A122" s="5" t="s">
        <v>1</v>
      </c>
      <c r="B122" s="1" t="str">
        <f>"19-14909"</f>
        <v>19-14909</v>
      </c>
      <c r="C122" s="1">
        <v>108920</v>
      </c>
      <c r="D122" s="1" t="str">
        <f>""</f>
        <v/>
      </c>
      <c r="E122" s="5" t="str">
        <f>"수첩"</f>
        <v>수첩</v>
      </c>
      <c r="F122" s="1" t="str">
        <f>"H3558"</f>
        <v>H3558</v>
      </c>
      <c r="G122" s="1" t="str">
        <f>"재영테크"</f>
        <v>재영테크</v>
      </c>
      <c r="H122" s="1" t="str">
        <f t="shared" si="22"/>
        <v>Y</v>
      </c>
      <c r="I122" s="1" t="str">
        <f>"1"</f>
        <v>1</v>
      </c>
      <c r="J122" s="1" t="str">
        <f>"20230522"</f>
        <v>20230522</v>
      </c>
      <c r="K122" s="1" t="str">
        <f t="shared" si="20"/>
        <v>D</v>
      </c>
      <c r="L122" s="1" t="str">
        <f>"일반검진+IPA+MIBK+N-부탄올+메틸알코올+셀로솔브+스티렌+아세톤+에틸벤젠+이소부틸알코올+크실렌+톨루엔(크레졸)+크롬+구리+니켈+산화아연+알루미늄+시안화나트륨+시안화수소+염화수소+황산"</f>
        <v>일반검진+IPA+MIBK+N-부탄올+메틸알코올+셀로솔브+스티렌+아세톤+에틸벤젠+이소부틸알코올+크실렌+톨루엔(크레졸)+크롬+구리+니켈+산화아연+알루미늄+시안화나트륨+시안화수소+염화수소+황산</v>
      </c>
    </row>
    <row r="123" spans="1:12">
      <c r="A123" s="5" t="s">
        <v>1</v>
      </c>
      <c r="B123" s="1" t="str">
        <f>"21-07947"</f>
        <v>21-07947</v>
      </c>
      <c r="C123" s="1">
        <v>38950</v>
      </c>
      <c r="D123" s="1" t="str">
        <f>""</f>
        <v/>
      </c>
      <c r="E123" s="5" t="str">
        <f>"수첩"</f>
        <v>수첩</v>
      </c>
      <c r="F123" s="1" t="str">
        <f>"H3558"</f>
        <v>H3558</v>
      </c>
      <c r="G123" s="1" t="str">
        <f>"재영테크"</f>
        <v>재영테크</v>
      </c>
      <c r="H123" s="1" t="str">
        <f t="shared" si="22"/>
        <v>Y</v>
      </c>
      <c r="I123" s="1" t="str">
        <f>"2"</f>
        <v>2</v>
      </c>
      <c r="J123" s="1" t="str">
        <f>"20230801"</f>
        <v>20230801</v>
      </c>
      <c r="K123" s="1" t="str">
        <f t="shared" si="20"/>
        <v>D</v>
      </c>
      <c r="L123" s="1" t="str">
        <f>"조혈기계2차4종"</f>
        <v>조혈기계2차4종</v>
      </c>
    </row>
    <row r="124" spans="1:12">
      <c r="A124" s="5" t="s">
        <v>1</v>
      </c>
      <c r="B124" s="1" t="str">
        <f>"21-21349"</f>
        <v>21-21349</v>
      </c>
      <c r="C124" s="1">
        <v>74850</v>
      </c>
      <c r="D124" s="1" t="str">
        <f>""</f>
        <v/>
      </c>
      <c r="E124" s="5" t="str">
        <f>"수첩"</f>
        <v>수첩</v>
      </c>
      <c r="F124" s="1" t="str">
        <f>"H3584"</f>
        <v>H3584</v>
      </c>
      <c r="G124" s="1" t="str">
        <f>"주식회사 에이치테크"</f>
        <v>주식회사 에이치테크</v>
      </c>
      <c r="H124" s="1" t="str">
        <f t="shared" si="22"/>
        <v>Y</v>
      </c>
      <c r="I124" s="1" t="str">
        <f>"1"</f>
        <v>1</v>
      </c>
      <c r="J124" s="1" t="str">
        <f>"20230901"</f>
        <v>20230901</v>
      </c>
      <c r="K124" s="1" t="str">
        <f t="shared" si="20"/>
        <v>D</v>
      </c>
      <c r="L124" s="1" t="str">
        <f>"야간작업+소음+용접흄+IPA+글리시돌+아세톤+크롬+니켈+망간+산화철+자외선"</f>
        <v>야간작업+소음+용접흄+IPA+글리시돌+아세톤+크롬+니켈+망간+산화철+자외선</v>
      </c>
    </row>
    <row r="125" spans="1:12">
      <c r="A125" s="5" t="s">
        <v>1</v>
      </c>
      <c r="B125" s="1" t="str">
        <f>"23-07898"</f>
        <v>23-07898</v>
      </c>
      <c r="C125" s="1">
        <v>31280</v>
      </c>
      <c r="D125" s="1" t="str">
        <f>""</f>
        <v/>
      </c>
      <c r="E125" s="5" t="str">
        <f>"수첩"</f>
        <v>수첩</v>
      </c>
      <c r="F125" s="1" t="str">
        <f>"H3628"</f>
        <v>H3628</v>
      </c>
      <c r="G125" s="1" t="str">
        <f>"선우철강(주)"</f>
        <v>선우철강(주)</v>
      </c>
      <c r="H125" s="1" t="str">
        <f t="shared" si="22"/>
        <v>Y</v>
      </c>
      <c r="I125" s="1" t="str">
        <f>"1"</f>
        <v>1</v>
      </c>
      <c r="J125" s="1" t="str">
        <f>"20230628"</f>
        <v>20230628</v>
      </c>
      <c r="K125" s="1" t="str">
        <f t="shared" si="20"/>
        <v>D</v>
      </c>
      <c r="L125" s="1" t="str">
        <f>"일반검진+소음"</f>
        <v>일반검진+소음</v>
      </c>
    </row>
    <row r="126" spans="1:12">
      <c r="A126" s="5" t="s">
        <v>1</v>
      </c>
      <c r="B126" s="1" t="str">
        <f>"17-12926"</f>
        <v>17-12926</v>
      </c>
      <c r="C126" s="1">
        <v>45040</v>
      </c>
      <c r="D126" s="1" t="str">
        <f>""</f>
        <v/>
      </c>
      <c r="E126" s="5" t="str">
        <f>"수첩"</f>
        <v>수첩</v>
      </c>
      <c r="F126" s="1" t="str">
        <f>"H3629"</f>
        <v>H3629</v>
      </c>
      <c r="G126" s="1" t="str">
        <f>"주식회사 성암금속"</f>
        <v>주식회사 성암금속</v>
      </c>
      <c r="H126" s="1" t="str">
        <f t="shared" si="22"/>
        <v>Y</v>
      </c>
      <c r="I126" s="1" t="str">
        <f>"1"</f>
        <v>1</v>
      </c>
      <c r="J126" s="1" t="str">
        <f>"20230515"</f>
        <v>20230515</v>
      </c>
      <c r="K126" s="1" t="str">
        <f t="shared" si="20"/>
        <v>D</v>
      </c>
      <c r="L126" s="1" t="str">
        <f>"일반검진+정신건강검사+야간작업+소음+구리+알루미늄+적외선"</f>
        <v>일반검진+정신건강검사+야간작업+소음+구리+알루미늄+적외선</v>
      </c>
    </row>
    <row r="127" spans="1:12">
      <c r="A127" s="5" t="s">
        <v>1</v>
      </c>
      <c r="B127" s="1" t="str">
        <f>"23-08582"</f>
        <v>23-08582</v>
      </c>
      <c r="C127" s="1">
        <v>83310</v>
      </c>
      <c r="D127" s="1" t="str">
        <f>""</f>
        <v/>
      </c>
      <c r="E127" s="5" t="str">
        <f>"수첩"</f>
        <v>수첩</v>
      </c>
      <c r="F127" s="1" t="str">
        <f>"H3629"</f>
        <v>H3629</v>
      </c>
      <c r="G127" s="1" t="str">
        <f>"주식회사 성암금속"</f>
        <v>주식회사 성암금속</v>
      </c>
      <c r="H127" s="1" t="str">
        <f t="shared" si="22"/>
        <v>Y</v>
      </c>
      <c r="I127" s="1" t="str">
        <f>"1"</f>
        <v>1</v>
      </c>
      <c r="J127" s="1" t="str">
        <f>"20230713"</f>
        <v>20230713</v>
      </c>
      <c r="K127" s="1" t="str">
        <f t="shared" si="20"/>
        <v>D</v>
      </c>
      <c r="L127" s="1" t="str">
        <f>"야간작업+소음(배치전)+구리+알루미늄+적외선"</f>
        <v>야간작업+소음(배치전)+구리+알루미늄+적외선</v>
      </c>
    </row>
    <row r="128" spans="1:12">
      <c r="A128" s="5" t="s">
        <v>1</v>
      </c>
      <c r="B128" s="1" t="str">
        <f>"17-12926"</f>
        <v>17-12926</v>
      </c>
      <c r="C128" s="1">
        <v>68510</v>
      </c>
      <c r="D128" s="1" t="str">
        <f>""</f>
        <v/>
      </c>
      <c r="E128" s="5" t="str">
        <f>"수첩"</f>
        <v>수첩</v>
      </c>
      <c r="F128" s="1" t="str">
        <f>"H3629"</f>
        <v>H3629</v>
      </c>
      <c r="G128" s="1" t="str">
        <f>"주식회사 성암금속"</f>
        <v>주식회사 성암금속</v>
      </c>
      <c r="H128" s="1" t="str">
        <f t="shared" si="22"/>
        <v>Y</v>
      </c>
      <c r="I128" s="1" t="str">
        <f>"2"</f>
        <v>2</v>
      </c>
      <c r="J128" s="1" t="str">
        <f>"20230812"</f>
        <v>20230812</v>
      </c>
      <c r="K128" s="1" t="str">
        <f t="shared" si="20"/>
        <v>D</v>
      </c>
      <c r="L128" s="1" t="str">
        <f>"간담도계2차"</f>
        <v>간담도계2차</v>
      </c>
    </row>
    <row r="129" spans="1:12">
      <c r="A129" s="5" t="s">
        <v>1</v>
      </c>
      <c r="B129" s="1" t="str">
        <f>"19-17490"</f>
        <v>19-17490</v>
      </c>
      <c r="C129" s="1">
        <v>69570</v>
      </c>
      <c r="D129" s="1" t="str">
        <f>""</f>
        <v/>
      </c>
      <c r="E129" s="5" t="str">
        <f>"수첩"</f>
        <v>수첩</v>
      </c>
      <c r="F129" s="1" t="str">
        <f>"H3744"</f>
        <v>H3744</v>
      </c>
      <c r="G129" s="1" t="str">
        <f>"대영금속"</f>
        <v>대영금속</v>
      </c>
      <c r="H129" s="1" t="str">
        <f t="shared" si="22"/>
        <v>Y</v>
      </c>
      <c r="I129" s="1" t="str">
        <f t="shared" ref="I129:I135" si="23">"1"</f>
        <v>1</v>
      </c>
      <c r="J129" s="1" t="str">
        <f>"20230525"</f>
        <v>20230525</v>
      </c>
      <c r="K129" s="1" t="str">
        <f t="shared" si="20"/>
        <v>D</v>
      </c>
      <c r="L129" s="1" t="str">
        <f>"일반검진+소음+크롬+구리+산화아연+시안화나트륨+시안화수소+염화수소+질산+황산"</f>
        <v>일반검진+소음+크롬+구리+산화아연+시안화나트륨+시안화수소+염화수소+질산+황산</v>
      </c>
    </row>
    <row r="130" spans="1:12">
      <c r="A130" s="5" t="s">
        <v>1</v>
      </c>
      <c r="B130" s="1" t="str">
        <f>"10-17710"</f>
        <v>10-17710</v>
      </c>
      <c r="C130" s="1">
        <v>34700</v>
      </c>
      <c r="D130" s="1" t="str">
        <f>""</f>
        <v/>
      </c>
      <c r="E130" s="5" t="str">
        <f>"수첩"</f>
        <v>수첩</v>
      </c>
      <c r="F130" s="1" t="str">
        <f>"H3861"</f>
        <v>H3861</v>
      </c>
      <c r="G130" s="1" t="str">
        <f>"보람요양원"</f>
        <v>보람요양원</v>
      </c>
      <c r="H130" s="1" t="str">
        <f t="shared" si="22"/>
        <v>Y</v>
      </c>
      <c r="I130" s="1" t="str">
        <f t="shared" si="23"/>
        <v>1</v>
      </c>
      <c r="J130" s="1" t="str">
        <f>"20230601"</f>
        <v>20230601</v>
      </c>
      <c r="K130" s="1" t="str">
        <f t="shared" si="20"/>
        <v>D</v>
      </c>
      <c r="L130" s="1" t="str">
        <f>"골밀도+노인신체기능+인지기능장애+일반검진+정신건강검사+야간작업"</f>
        <v>골밀도+노인신체기능+인지기능장애+일반검진+정신건강검사+야간작업</v>
      </c>
    </row>
    <row r="131" spans="1:12">
      <c r="A131" s="5" t="s">
        <v>1</v>
      </c>
      <c r="B131" s="1" t="str">
        <f>"07-04911"</f>
        <v>07-04911</v>
      </c>
      <c r="C131" s="1">
        <v>32640</v>
      </c>
      <c r="D131" s="1" t="str">
        <f>""</f>
        <v/>
      </c>
      <c r="E131" s="5" t="str">
        <f>"수첩"</f>
        <v>수첩</v>
      </c>
      <c r="F131" s="1" t="str">
        <f>"H3861"</f>
        <v>H3861</v>
      </c>
      <c r="G131" s="1" t="str">
        <f>"보람요양원"</f>
        <v>보람요양원</v>
      </c>
      <c r="H131" s="1" t="str">
        <f t="shared" si="22"/>
        <v>Y</v>
      </c>
      <c r="I131" s="1" t="str">
        <f t="shared" si="23"/>
        <v>1</v>
      </c>
      <c r="J131" s="1" t="str">
        <f>"20230109"</f>
        <v>20230109</v>
      </c>
      <c r="K131" s="1" t="str">
        <f t="shared" si="20"/>
        <v>D</v>
      </c>
      <c r="L131" s="1" t="str">
        <f>"골밀도+노인신체기능+인지기능장애+일반검진+정신건강검사+야간작업"</f>
        <v>골밀도+노인신체기능+인지기능장애+일반검진+정신건강검사+야간작업</v>
      </c>
    </row>
    <row r="132" spans="1:12">
      <c r="A132" s="5" t="s">
        <v>1</v>
      </c>
      <c r="B132" s="1" t="str">
        <f>"22-18402"</f>
        <v>22-18402</v>
      </c>
      <c r="C132" s="1">
        <v>83380</v>
      </c>
      <c r="D132" s="1" t="str">
        <f>""</f>
        <v/>
      </c>
      <c r="E132" s="5" t="str">
        <f>"수첩"</f>
        <v>수첩</v>
      </c>
      <c r="F132" s="1" t="str">
        <f>"H3968"</f>
        <v>H3968</v>
      </c>
      <c r="G132" s="1" t="str">
        <f>"인성테크"</f>
        <v>인성테크</v>
      </c>
      <c r="H132" s="1" t="str">
        <f t="shared" si="22"/>
        <v>Y</v>
      </c>
      <c r="I132" s="1" t="str">
        <f t="shared" si="23"/>
        <v>1</v>
      </c>
      <c r="J132" s="1" t="str">
        <f>"20230524"</f>
        <v>20230524</v>
      </c>
      <c r="K132" s="1" t="str">
        <f t="shared" si="20"/>
        <v>D</v>
      </c>
      <c r="L132" s="1" t="str">
        <f>"이상지질혈증+일반검진+정신건강검사+소음+톨루엔(크레졸)+크롬+산화아연+알루미늄+불화수소+시안화나트륨+시안화수소+염화수소+질산+황산+미네랄오일미스트"</f>
        <v>이상지질혈증+일반검진+정신건강검사+소음+톨루엔(크레졸)+크롬+산화아연+알루미늄+불화수소+시안화나트륨+시안화수소+염화수소+질산+황산+미네랄오일미스트</v>
      </c>
    </row>
    <row r="133" spans="1:12">
      <c r="A133" s="5" t="s">
        <v>1</v>
      </c>
      <c r="B133" s="1" t="str">
        <f>"19-09041"</f>
        <v>19-09041</v>
      </c>
      <c r="C133" s="1">
        <v>44460</v>
      </c>
      <c r="D133" s="1" t="str">
        <f>""</f>
        <v/>
      </c>
      <c r="E133" s="5" t="str">
        <f>"수첩"</f>
        <v>수첩</v>
      </c>
      <c r="F133" s="1" t="str">
        <f>"H4283"</f>
        <v>H4283</v>
      </c>
      <c r="G133" s="1" t="str">
        <f>"온마음요양원"</f>
        <v>온마음요양원</v>
      </c>
      <c r="H133" s="1" t="str">
        <f t="shared" si="22"/>
        <v>Y</v>
      </c>
      <c r="I133" s="1" t="str">
        <f t="shared" si="23"/>
        <v>1</v>
      </c>
      <c r="J133" s="1" t="str">
        <f>"20230612"</f>
        <v>20230612</v>
      </c>
      <c r="K133" s="1" t="str">
        <f t="shared" si="20"/>
        <v>D</v>
      </c>
      <c r="L133" s="1" t="str">
        <f>"야간작업"</f>
        <v>야간작업</v>
      </c>
    </row>
    <row r="134" spans="1:12">
      <c r="A134" s="5" t="s">
        <v>1</v>
      </c>
      <c r="B134" s="1" t="str">
        <f>"21-07955"</f>
        <v>21-07955</v>
      </c>
      <c r="C134" s="1">
        <v>97210</v>
      </c>
      <c r="D134" s="1" t="str">
        <f>""</f>
        <v/>
      </c>
      <c r="E134" s="5" t="str">
        <f>"수첩"</f>
        <v>수첩</v>
      </c>
      <c r="F134" s="1" t="str">
        <f>"H4342"</f>
        <v>H4342</v>
      </c>
      <c r="G134" s="1" t="str">
        <f>"주식회사 동광정밀"</f>
        <v>주식회사 동광정밀</v>
      </c>
      <c r="H134" s="1" t="str">
        <f t="shared" si="22"/>
        <v>Y</v>
      </c>
      <c r="I134" s="1" t="str">
        <f t="shared" si="23"/>
        <v>1</v>
      </c>
      <c r="J134" s="1" t="str">
        <f>"20230525"</f>
        <v>20230525</v>
      </c>
      <c r="K134" s="1" t="str">
        <f t="shared" si="20"/>
        <v>D</v>
      </c>
      <c r="L134" s="1" t="str">
        <f>"생활습관평가+이상지질혈증+일반검진+정신건강검사+1.2-DCE+1.2-디클로로프로판+TCE+디클로로메탄+클로로포름+크롬+구리+니켈+주석(무기)+불화수소+시안화나트륨+시안화수소+염화수소+질산+황산"</f>
        <v>생활습관평가+이상지질혈증+일반검진+정신건강검사+1.2-DCE+1.2-디클로로프로판+TCE+디클로로메탄+클로로포름+크롬+구리+니켈+주석(무기)+불화수소+시안화나트륨+시안화수소+염화수소+질산+황산</v>
      </c>
    </row>
    <row r="135" spans="1:12">
      <c r="A135" s="5" t="s">
        <v>1</v>
      </c>
      <c r="B135" s="1" t="str">
        <f>"22-12315"</f>
        <v>22-12315</v>
      </c>
      <c r="C135" s="1">
        <v>140510</v>
      </c>
      <c r="D135" s="1" t="str">
        <f>""</f>
        <v/>
      </c>
      <c r="E135" s="5" t="str">
        <f>"수첩"</f>
        <v>수첩</v>
      </c>
      <c r="F135" s="1" t="str">
        <f>"H4342"</f>
        <v>H4342</v>
      </c>
      <c r="G135" s="1" t="str">
        <f>"주식회사 동광정밀"</f>
        <v>주식회사 동광정밀</v>
      </c>
      <c r="H135" s="1" t="str">
        <f t="shared" si="22"/>
        <v>Y</v>
      </c>
      <c r="I135" s="1" t="str">
        <f t="shared" si="23"/>
        <v>1</v>
      </c>
      <c r="J135" s="1" t="str">
        <f>"20230525"</f>
        <v>20230525</v>
      </c>
      <c r="K135" s="1" t="str">
        <f t="shared" si="20"/>
        <v>D</v>
      </c>
      <c r="L135" s="1" t="str">
        <f>"1.2-DCE+1.2-디클로로프로판+TCE+디클로로메탄+클로로포름+크롬+구리+니켈+주석(무기)+불화수소+시안화나트륨+시안화수소+염화수소+질산+황산"</f>
        <v>1.2-DCE+1.2-디클로로프로판+TCE+디클로로메탄+클로로포름+크롬+구리+니켈+주석(무기)+불화수소+시안화나트륨+시안화수소+염화수소+질산+황산</v>
      </c>
    </row>
    <row r="136" spans="1:12">
      <c r="A136" s="5" t="s">
        <v>14</v>
      </c>
      <c r="B136" s="1" t="str">
        <f>"23-06288"</f>
        <v>23-06288</v>
      </c>
      <c r="C136" s="1">
        <v>68510</v>
      </c>
      <c r="D136" s="1" t="str">
        <f>""</f>
        <v/>
      </c>
      <c r="E136" s="5" t="str">
        <f>"수첩"</f>
        <v>수첩</v>
      </c>
      <c r="F136" s="1" t="str">
        <f>"H4342"</f>
        <v>H4342</v>
      </c>
      <c r="G136" s="1" t="str">
        <f>"주식회사 동광정밀"</f>
        <v>주식회사 동광정밀</v>
      </c>
      <c r="H136" s="1" t="str">
        <f t="shared" si="22"/>
        <v>Y</v>
      </c>
      <c r="I136" s="1" t="str">
        <f>"2"</f>
        <v>2</v>
      </c>
      <c r="J136" s="1" t="str">
        <f>"20230801"</f>
        <v>20230801</v>
      </c>
      <c r="K136" s="5" t="str">
        <f>"B"</f>
        <v>B</v>
      </c>
      <c r="L136" s="1" t="str">
        <f>"간담도계2차"</f>
        <v>간담도계2차</v>
      </c>
    </row>
    <row r="137" spans="1:12">
      <c r="A137" s="5" t="s">
        <v>1</v>
      </c>
      <c r="B137" s="1" t="str">
        <f>"23-06288"</f>
        <v>23-06288</v>
      </c>
      <c r="C137" s="1">
        <v>140510</v>
      </c>
      <c r="D137" s="1" t="str">
        <f>""</f>
        <v/>
      </c>
      <c r="E137" s="5" t="str">
        <f>"수첩"</f>
        <v>수첩</v>
      </c>
      <c r="F137" s="1" t="str">
        <f>"H4342"</f>
        <v>H4342</v>
      </c>
      <c r="G137" s="1" t="str">
        <f>"주식회사 동광정밀"</f>
        <v>주식회사 동광정밀</v>
      </c>
      <c r="H137" s="1" t="str">
        <f t="shared" si="22"/>
        <v>Y</v>
      </c>
      <c r="I137" s="1" t="str">
        <f>"1"</f>
        <v>1</v>
      </c>
      <c r="J137" s="1" t="str">
        <f>"20230525"</f>
        <v>20230525</v>
      </c>
      <c r="K137" s="5" t="str">
        <f>"D"</f>
        <v>D</v>
      </c>
      <c r="L137" s="1" t="str">
        <f>"1.2-DCE+1.2-디클로로프로판+TCE+디클로로메탄+클로로포름+크롬+구리+니켈+주석(무기)+불화수소+시안화나트륨+시안화수소+염화수소+질산+황산"</f>
        <v>1.2-DCE+1.2-디클로로프로판+TCE+디클로로메탄+클로로포름+크롬+구리+니켈+주석(무기)+불화수소+시안화나트륨+시안화수소+염화수소+질산+황산</v>
      </c>
    </row>
    <row r="138" spans="1:12">
      <c r="A138" s="5" t="s">
        <v>1</v>
      </c>
      <c r="B138" s="1" t="str">
        <f>"23-03972"</f>
        <v>23-03972</v>
      </c>
      <c r="C138" s="1">
        <v>30390</v>
      </c>
      <c r="D138" s="1" t="str">
        <f>""</f>
        <v/>
      </c>
      <c r="E138" s="5" t="str">
        <f>"수첩"</f>
        <v>수첩</v>
      </c>
      <c r="F138" s="1" t="str">
        <f>"H4480"</f>
        <v>H4480</v>
      </c>
      <c r="G138" s="1" t="str">
        <f>"노블레스요양원"</f>
        <v>노블레스요양원</v>
      </c>
      <c r="H138" s="1" t="str">
        <f t="shared" si="22"/>
        <v>Y</v>
      </c>
      <c r="I138" s="1" t="str">
        <f>"1"</f>
        <v>1</v>
      </c>
      <c r="J138" s="1" t="str">
        <f>"20230511"</f>
        <v>20230511</v>
      </c>
      <c r="K138" s="5" t="str">
        <f>"D"</f>
        <v>D</v>
      </c>
      <c r="L138" s="1" t="str">
        <f>"야간작업"</f>
        <v>야간작업</v>
      </c>
    </row>
    <row r="139" spans="1:12">
      <c r="A139" s="5" t="s">
        <v>1</v>
      </c>
      <c r="B139" s="1" t="str">
        <f>"23-08122"</f>
        <v>23-08122</v>
      </c>
      <c r="C139" s="1">
        <v>73870</v>
      </c>
      <c r="D139" s="1" t="str">
        <f>""</f>
        <v/>
      </c>
      <c r="E139" s="5" t="str">
        <f>"수첩"</f>
        <v>수첩</v>
      </c>
      <c r="F139" s="1" t="str">
        <f>"H4633"</f>
        <v>H4633</v>
      </c>
      <c r="G139" s="1" t="str">
        <f>"동일산업(주)[SK인천석유화학(주)]"</f>
        <v>동일산업(주)[SK인천석유화학(주)]</v>
      </c>
      <c r="H139" s="1" t="str">
        <f t="shared" si="22"/>
        <v>Y</v>
      </c>
      <c r="I139" s="1" t="str">
        <f>"2"</f>
        <v>2</v>
      </c>
      <c r="J139" s="1" t="str">
        <f>"20230823"</f>
        <v>20230823</v>
      </c>
      <c r="K139" s="5" t="str">
        <f>"D"</f>
        <v>D</v>
      </c>
      <c r="L139" s="1" t="str">
        <f>"소음+비뇨기계2차+조혈기계2차4종"</f>
        <v>소음+비뇨기계2차+조혈기계2차4종</v>
      </c>
    </row>
    <row r="140" spans="1:12">
      <c r="A140" s="5" t="s">
        <v>1</v>
      </c>
      <c r="B140" s="1" t="str">
        <f>"23-08122"</f>
        <v>23-08122</v>
      </c>
      <c r="C140" s="1">
        <v>54860</v>
      </c>
      <c r="D140" s="1" t="str">
        <f>""</f>
        <v/>
      </c>
      <c r="E140" s="5" t="str">
        <f>"수첩"</f>
        <v>수첩</v>
      </c>
      <c r="F140" s="1" t="str">
        <f>"H4633"</f>
        <v>H4633</v>
      </c>
      <c r="G140" s="1" t="str">
        <f>"동일산업(주)[SK인천석유화학(주)]"</f>
        <v>동일산업(주)[SK인천석유화학(주)]</v>
      </c>
      <c r="H140" s="1" t="str">
        <f t="shared" si="22"/>
        <v>Y</v>
      </c>
      <c r="I140" s="1" t="str">
        <f>"1"</f>
        <v>1</v>
      </c>
      <c r="J140" s="1" t="str">
        <f>"20230703"</f>
        <v>20230703</v>
      </c>
      <c r="K140" s="5" t="str">
        <f>"D"</f>
        <v>D</v>
      </c>
      <c r="L140" s="1" t="str">
        <f>"소음(배치전)+벤젠+에틸벤젠+크실렌(배치전)+톨루엔(배치전)+진동"</f>
        <v>소음(배치전)+벤젠+에틸벤젠+크실렌(배치전)+톨루엔(배치전)+진동</v>
      </c>
    </row>
    <row r="141" spans="1:12">
      <c r="A141" s="5" t="s">
        <v>1</v>
      </c>
      <c r="B141" s="1" t="str">
        <f>"23-04029"</f>
        <v>23-04029</v>
      </c>
      <c r="C141" s="1">
        <v>113240</v>
      </c>
      <c r="D141" s="1" t="str">
        <f>""</f>
        <v/>
      </c>
      <c r="E141" s="5" t="str">
        <f>"수첩"</f>
        <v>수첩</v>
      </c>
      <c r="F141" s="1" t="str">
        <f>"H4633"</f>
        <v>H4633</v>
      </c>
      <c r="G141" s="1" t="str">
        <f>"동일산업(주)[SK인천석유화학(주)]"</f>
        <v>동일산업(주)[SK인천석유화학(주)]</v>
      </c>
      <c r="H141" s="1" t="str">
        <f t="shared" si="22"/>
        <v>Y</v>
      </c>
      <c r="I141" s="1" t="str">
        <f>"2"</f>
        <v>2</v>
      </c>
      <c r="J141" s="1" t="str">
        <f>"20230725"</f>
        <v>20230725</v>
      </c>
      <c r="K141" s="5" t="str">
        <f>"D"</f>
        <v>D</v>
      </c>
      <c r="L141" s="1" t="str">
        <f>"소음+간담도계2차+조혈기계2차4종"</f>
        <v>소음+간담도계2차+조혈기계2차4종</v>
      </c>
    </row>
    <row r="142" spans="1:12">
      <c r="A142" s="5" t="s">
        <v>1</v>
      </c>
      <c r="B142" s="1" t="str">
        <f>"23-04029"</f>
        <v>23-04029</v>
      </c>
      <c r="C142" s="1">
        <v>54860</v>
      </c>
      <c r="D142" s="1" t="str">
        <f>""</f>
        <v/>
      </c>
      <c r="E142" s="5" t="str">
        <f>"수첩"</f>
        <v>수첩</v>
      </c>
      <c r="F142" s="1" t="str">
        <f>"H4633"</f>
        <v>H4633</v>
      </c>
      <c r="G142" s="1" t="str">
        <f>"동일산업(주)[SK인천석유화학(주)]"</f>
        <v>동일산업(주)[SK인천석유화학(주)]</v>
      </c>
      <c r="H142" s="1" t="str">
        <f t="shared" si="22"/>
        <v>Y</v>
      </c>
      <c r="I142" s="1" t="str">
        <f>"1"</f>
        <v>1</v>
      </c>
      <c r="J142" s="1" t="str">
        <f>"20230411"</f>
        <v>20230411</v>
      </c>
      <c r="K142" s="5" t="str">
        <f>"D"</f>
        <v>D</v>
      </c>
      <c r="L142" s="1" t="str">
        <f>"소음(배치전)+벤젠+에틸벤젠+크실렌(배치전)+톨루엔(배치전)"</f>
        <v>소음(배치전)+벤젠+에틸벤젠+크실렌(배치전)+톨루엔(배치전)</v>
      </c>
    </row>
    <row r="143" spans="1:12">
      <c r="A143" s="5" t="s">
        <v>14</v>
      </c>
      <c r="B143" s="1" t="str">
        <f>"22-12251"</f>
        <v>22-12251</v>
      </c>
      <c r="C143" s="1">
        <v>70290</v>
      </c>
      <c r="D143" s="1" t="str">
        <f>""</f>
        <v/>
      </c>
      <c r="E143" s="5" t="str">
        <f>"수첩"</f>
        <v>수첩</v>
      </c>
      <c r="F143" s="1" t="str">
        <f>"H4708"</f>
        <v>H4708</v>
      </c>
      <c r="G143" s="1" t="str">
        <f>"주식회사 아현"</f>
        <v>주식회사 아현</v>
      </c>
      <c r="H143" s="1" t="str">
        <f t="shared" si="22"/>
        <v>Y</v>
      </c>
      <c r="I143" s="1" t="str">
        <f>"1"</f>
        <v>1</v>
      </c>
      <c r="J143" s="1" t="str">
        <f>"20230525"</f>
        <v>20230525</v>
      </c>
      <c r="K143" s="5" t="str">
        <f>"B"</f>
        <v>B</v>
      </c>
      <c r="L143" s="1" t="str">
        <f>"이상지질혈증+일반검진+PCE+부틸셀로솔브+크롬+구리+니켈+불화수소+시안화나트륨+시안화수소+시안화칼륨+염화수소+질산+황산"</f>
        <v>이상지질혈증+일반검진+PCE+부틸셀로솔브+크롬+구리+니켈+불화수소+시안화나트륨+시안화수소+시안화칼륨+염화수소+질산+황산</v>
      </c>
    </row>
    <row r="144" spans="1:12">
      <c r="A144" s="5" t="s">
        <v>1</v>
      </c>
      <c r="B144" s="1" t="str">
        <f>"22-12254"</f>
        <v>22-12254</v>
      </c>
      <c r="C144" s="1">
        <v>113590</v>
      </c>
      <c r="D144" s="1" t="str">
        <f>""</f>
        <v/>
      </c>
      <c r="E144" s="5" t="str">
        <f>"수첩"</f>
        <v>수첩</v>
      </c>
      <c r="F144" s="1" t="str">
        <f>"H4708"</f>
        <v>H4708</v>
      </c>
      <c r="G144" s="1" t="str">
        <f>"주식회사 아현"</f>
        <v>주식회사 아현</v>
      </c>
      <c r="H144" s="1" t="str">
        <f t="shared" si="22"/>
        <v>Y</v>
      </c>
      <c r="I144" s="1" t="str">
        <f>"1"</f>
        <v>1</v>
      </c>
      <c r="J144" s="1" t="str">
        <f>"20230525"</f>
        <v>20230525</v>
      </c>
      <c r="K144" s="1" t="str">
        <f t="shared" ref="K144:K167" si="24">"D"</f>
        <v>D</v>
      </c>
      <c r="L144" s="1" t="str">
        <f>"PCE+부틸셀로솔브+크롬+구리+니켈+불화수소+시안화나트륨+시안화수소+시안화칼륨+염화수소+질산+황산"</f>
        <v>PCE+부틸셀로솔브+크롬+구리+니켈+불화수소+시안화나트륨+시안화수소+시안화칼륨+염화수소+질산+황산</v>
      </c>
    </row>
    <row r="145" spans="1:12">
      <c r="A145" s="5" t="s">
        <v>1</v>
      </c>
      <c r="B145" s="1" t="str">
        <f>"22-12251"</f>
        <v>22-12251</v>
      </c>
      <c r="C145" s="1">
        <v>68510</v>
      </c>
      <c r="D145" s="1" t="str">
        <f>""</f>
        <v/>
      </c>
      <c r="E145" s="5" t="str">
        <f>"수첩"</f>
        <v>수첩</v>
      </c>
      <c r="F145" s="1" t="str">
        <f>"H4708"</f>
        <v>H4708</v>
      </c>
      <c r="G145" s="1" t="str">
        <f>"주식회사 아현"</f>
        <v>주식회사 아현</v>
      </c>
      <c r="H145" s="1" t="str">
        <f t="shared" si="22"/>
        <v>Y</v>
      </c>
      <c r="I145" s="1" t="str">
        <f>"2"</f>
        <v>2</v>
      </c>
      <c r="J145" s="1" t="str">
        <f>"20230923"</f>
        <v>20230923</v>
      </c>
      <c r="K145" s="1" t="str">
        <f t="shared" si="24"/>
        <v>D</v>
      </c>
      <c r="L145" s="1" t="str">
        <f>"간담도계2차"</f>
        <v>간담도계2차</v>
      </c>
    </row>
    <row r="146" spans="1:12">
      <c r="A146" s="5" t="s">
        <v>1</v>
      </c>
      <c r="B146" s="1" t="str">
        <f>"22-12254"</f>
        <v>22-12254</v>
      </c>
      <c r="C146" s="1">
        <v>68510</v>
      </c>
      <c r="D146" s="1" t="str">
        <f>""</f>
        <v/>
      </c>
      <c r="E146" s="5" t="str">
        <f>"수첩"</f>
        <v>수첩</v>
      </c>
      <c r="F146" s="1" t="str">
        <f>"H4708"</f>
        <v>H4708</v>
      </c>
      <c r="G146" s="1" t="str">
        <f>"주식회사 아현"</f>
        <v>주식회사 아현</v>
      </c>
      <c r="H146" s="1" t="str">
        <f t="shared" si="22"/>
        <v>Y</v>
      </c>
      <c r="I146" s="1" t="str">
        <f>"2"</f>
        <v>2</v>
      </c>
      <c r="J146" s="1" t="str">
        <f>"20230923"</f>
        <v>20230923</v>
      </c>
      <c r="K146" s="1" t="str">
        <f t="shared" si="24"/>
        <v>D</v>
      </c>
      <c r="L146" s="1" t="str">
        <f>"간담도계2차"</f>
        <v>간담도계2차</v>
      </c>
    </row>
    <row r="147" spans="1:12">
      <c r="A147" s="5" t="s">
        <v>1</v>
      </c>
      <c r="B147" s="1" t="str">
        <f>"23-04118"</f>
        <v>23-04118</v>
      </c>
      <c r="C147" s="1">
        <v>43950</v>
      </c>
      <c r="D147" s="1" t="str">
        <f>""</f>
        <v/>
      </c>
      <c r="E147" s="5" t="str">
        <f>"수첩"</f>
        <v>수첩</v>
      </c>
      <c r="F147" s="1" t="str">
        <f>"H4961"</f>
        <v>H4961</v>
      </c>
      <c r="G147" s="1" t="str">
        <f>"(주)대우에스티[제일건설-검단AB18BL공동주택]"</f>
        <v>(주)대우에스티[제일건설-검단AB18BL공동주택]</v>
      </c>
      <c r="H147" s="1" t="str">
        <f t="shared" si="22"/>
        <v>Y</v>
      </c>
      <c r="I147" s="1" t="str">
        <f>"1"</f>
        <v>1</v>
      </c>
      <c r="J147" s="1" t="str">
        <f>"20230413"</f>
        <v>20230413</v>
      </c>
      <c r="K147" s="1" t="str">
        <f t="shared" si="24"/>
        <v>D</v>
      </c>
      <c r="L147" s="1" t="str">
        <f>"소음+광물성분진+용접흄+망간+산화철+알루미늄+오존+진동+자외선"</f>
        <v>소음+광물성분진+용접흄+망간+산화철+알루미늄+오존+진동+자외선</v>
      </c>
    </row>
    <row r="148" spans="1:12">
      <c r="A148" s="5" t="s">
        <v>1</v>
      </c>
      <c r="B148" s="1" t="str">
        <f>"23-03811"</f>
        <v>23-03811</v>
      </c>
      <c r="C148" s="1">
        <v>43950</v>
      </c>
      <c r="D148" s="1" t="str">
        <f>""</f>
        <v/>
      </c>
      <c r="E148" s="5" t="str">
        <f>"수첩"</f>
        <v>수첩</v>
      </c>
      <c r="F148" s="1" t="str">
        <f>"H4961"</f>
        <v>H4961</v>
      </c>
      <c r="G148" s="1" t="str">
        <f>"(주)대우에스티[제일건설-검단AB18BL공동주택]"</f>
        <v>(주)대우에스티[제일건설-검단AB18BL공동주택]</v>
      </c>
      <c r="H148" s="1" t="str">
        <f t="shared" si="22"/>
        <v>Y</v>
      </c>
      <c r="I148" s="1" t="str">
        <f>"1"</f>
        <v>1</v>
      </c>
      <c r="J148" s="1" t="str">
        <f>"20230406"</f>
        <v>20230406</v>
      </c>
      <c r="K148" s="1" t="str">
        <f t="shared" si="24"/>
        <v>D</v>
      </c>
      <c r="L148" s="1" t="str">
        <f>"소음(배치전)+광물성분진+용접흄+망간+산화철+알루미늄+오존+자외선"</f>
        <v>소음(배치전)+광물성분진+용접흄+망간+산화철+알루미늄+오존+자외선</v>
      </c>
    </row>
    <row r="149" spans="1:12">
      <c r="A149" s="5" t="s">
        <v>1</v>
      </c>
      <c r="B149" s="1" t="str">
        <f>"23-04072"</f>
        <v>23-04072</v>
      </c>
      <c r="C149" s="1">
        <v>43950</v>
      </c>
      <c r="D149" s="1" t="str">
        <f>""</f>
        <v/>
      </c>
      <c r="E149" s="5" t="str">
        <f>"수첩"</f>
        <v>수첩</v>
      </c>
      <c r="F149" s="1" t="str">
        <f>"H4961"</f>
        <v>H4961</v>
      </c>
      <c r="G149" s="1" t="str">
        <f>"(주)대우에스티[제일건설-검단AB18BL공동주택]"</f>
        <v>(주)대우에스티[제일건설-검단AB18BL공동주택]</v>
      </c>
      <c r="H149" s="1" t="str">
        <f t="shared" si="22"/>
        <v>Y</v>
      </c>
      <c r="I149" s="1" t="str">
        <f>"1"</f>
        <v>1</v>
      </c>
      <c r="J149" s="1" t="str">
        <f>"20230412"</f>
        <v>20230412</v>
      </c>
      <c r="K149" s="1" t="str">
        <f t="shared" si="24"/>
        <v>D</v>
      </c>
      <c r="L149" s="1" t="str">
        <f>"소음+광물성분진+용접흄+망간+산화철+알루미늄+오존+진동+자외선"</f>
        <v>소음+광물성분진+용접흄+망간+산화철+알루미늄+오존+진동+자외선</v>
      </c>
    </row>
    <row r="150" spans="1:12">
      <c r="A150" s="3" t="s">
        <v>3</v>
      </c>
      <c r="B150" s="1" t="str">
        <f>"23-01696"</f>
        <v>23-01696</v>
      </c>
      <c r="C150" s="1">
        <v>45400</v>
      </c>
      <c r="D150" s="1" t="str">
        <f>""</f>
        <v/>
      </c>
      <c r="E150" s="1" t="str">
        <f t="shared" ref="E150:E167" si="25">"2"</f>
        <v>2</v>
      </c>
      <c r="F150" s="1" t="str">
        <f t="shared" ref="F150:F167" si="26">"H4962"</f>
        <v>H4962</v>
      </c>
      <c r="G150" s="1" t="str">
        <f t="shared" ref="G150:G167" si="27">"화평토건 주식회사[현대건설-힐스테이트불로포레스트]"</f>
        <v>화평토건 주식회사[현대건설-힐스테이트불로포레스트]</v>
      </c>
      <c r="H150" s="3" t="str">
        <f t="shared" ref="H150:H167" si="28">"N"</f>
        <v>N</v>
      </c>
      <c r="I150" s="1" t="str">
        <f t="shared" ref="I150:I157" si="29">"2"</f>
        <v>2</v>
      </c>
      <c r="J150" s="1" t="str">
        <f>"20230404"</f>
        <v>20230404</v>
      </c>
      <c r="K150" s="1" t="str">
        <f t="shared" si="24"/>
        <v>D</v>
      </c>
      <c r="L150" s="1" t="str">
        <f t="shared" ref="L150:L157" si="30">"소음"</f>
        <v>소음</v>
      </c>
    </row>
    <row r="151" spans="1:12">
      <c r="A151" s="3" t="s">
        <v>3</v>
      </c>
      <c r="B151" s="1" t="str">
        <f>"23-01698"</f>
        <v>23-01698</v>
      </c>
      <c r="C151" s="1">
        <v>45400</v>
      </c>
      <c r="D151" s="1" t="str">
        <f>""</f>
        <v/>
      </c>
      <c r="E151" s="1" t="str">
        <f t="shared" si="25"/>
        <v>2</v>
      </c>
      <c r="F151" s="1" t="str">
        <f t="shared" si="26"/>
        <v>H4962</v>
      </c>
      <c r="G151" s="1" t="str">
        <f t="shared" si="27"/>
        <v>화평토건 주식회사[현대건설-힐스테이트불로포레스트]</v>
      </c>
      <c r="H151" s="3" t="str">
        <f t="shared" si="28"/>
        <v>N</v>
      </c>
      <c r="I151" s="1" t="str">
        <f t="shared" si="29"/>
        <v>2</v>
      </c>
      <c r="J151" s="1" t="str">
        <f>"20230404"</f>
        <v>20230404</v>
      </c>
      <c r="K151" s="1" t="str">
        <f t="shared" si="24"/>
        <v>D</v>
      </c>
      <c r="L151" s="1" t="str">
        <f t="shared" si="30"/>
        <v>소음</v>
      </c>
    </row>
    <row r="152" spans="1:12">
      <c r="A152" s="3" t="s">
        <v>3</v>
      </c>
      <c r="B152" s="1" t="str">
        <f>"23-01697"</f>
        <v>23-01697</v>
      </c>
      <c r="C152" s="1">
        <v>45400</v>
      </c>
      <c r="D152" s="1" t="str">
        <f>""</f>
        <v/>
      </c>
      <c r="E152" s="1" t="str">
        <f t="shared" si="25"/>
        <v>2</v>
      </c>
      <c r="F152" s="1" t="str">
        <f t="shared" si="26"/>
        <v>H4962</v>
      </c>
      <c r="G152" s="1" t="str">
        <f t="shared" si="27"/>
        <v>화평토건 주식회사[현대건설-힐스테이트불로포레스트]</v>
      </c>
      <c r="H152" s="3" t="str">
        <f t="shared" si="28"/>
        <v>N</v>
      </c>
      <c r="I152" s="1" t="str">
        <f t="shared" si="29"/>
        <v>2</v>
      </c>
      <c r="J152" s="1" t="str">
        <f>"20230404"</f>
        <v>20230404</v>
      </c>
      <c r="K152" s="1" t="str">
        <f t="shared" si="24"/>
        <v>D</v>
      </c>
      <c r="L152" s="1" t="str">
        <f t="shared" si="30"/>
        <v>소음</v>
      </c>
    </row>
    <row r="153" spans="1:12">
      <c r="A153" s="3" t="s">
        <v>3</v>
      </c>
      <c r="B153" s="1" t="str">
        <f>"23-01646"</f>
        <v>23-01646</v>
      </c>
      <c r="C153" s="1">
        <v>45400</v>
      </c>
      <c r="D153" s="1" t="str">
        <f>""</f>
        <v/>
      </c>
      <c r="E153" s="1" t="str">
        <f t="shared" si="25"/>
        <v>2</v>
      </c>
      <c r="F153" s="1" t="str">
        <f t="shared" si="26"/>
        <v>H4962</v>
      </c>
      <c r="G153" s="1" t="str">
        <f t="shared" si="27"/>
        <v>화평토건 주식회사[현대건설-힐스테이트불로포레스트]</v>
      </c>
      <c r="H153" s="3" t="str">
        <f t="shared" si="28"/>
        <v>N</v>
      </c>
      <c r="I153" s="1" t="str">
        <f t="shared" si="29"/>
        <v>2</v>
      </c>
      <c r="J153" s="1" t="str">
        <f>"20230405"</f>
        <v>20230405</v>
      </c>
      <c r="K153" s="1" t="str">
        <f t="shared" si="24"/>
        <v>D</v>
      </c>
      <c r="L153" s="1" t="str">
        <f t="shared" si="30"/>
        <v>소음</v>
      </c>
    </row>
    <row r="154" spans="1:12">
      <c r="A154" s="3" t="s">
        <v>3</v>
      </c>
      <c r="B154" s="1" t="str">
        <f>"21-14003"</f>
        <v>21-14003</v>
      </c>
      <c r="C154" s="1">
        <v>45400</v>
      </c>
      <c r="D154" s="1" t="str">
        <f>""</f>
        <v/>
      </c>
      <c r="E154" s="1" t="str">
        <f t="shared" si="25"/>
        <v>2</v>
      </c>
      <c r="F154" s="1" t="str">
        <f t="shared" si="26"/>
        <v>H4962</v>
      </c>
      <c r="G154" s="1" t="str">
        <f t="shared" si="27"/>
        <v>화평토건 주식회사[현대건설-힐스테이트불로포레스트]</v>
      </c>
      <c r="H154" s="3" t="str">
        <f t="shared" si="28"/>
        <v>N</v>
      </c>
      <c r="I154" s="1" t="str">
        <f t="shared" si="29"/>
        <v>2</v>
      </c>
      <c r="J154" s="1" t="str">
        <f>"20230405"</f>
        <v>20230405</v>
      </c>
      <c r="K154" s="1" t="str">
        <f t="shared" si="24"/>
        <v>D</v>
      </c>
      <c r="L154" s="1" t="str">
        <f t="shared" si="30"/>
        <v>소음</v>
      </c>
    </row>
    <row r="155" spans="1:12">
      <c r="A155" s="3" t="s">
        <v>3</v>
      </c>
      <c r="B155" s="1" t="str">
        <f>"23-01644"</f>
        <v>23-01644</v>
      </c>
      <c r="C155" s="1">
        <v>45400</v>
      </c>
      <c r="D155" s="1" t="str">
        <f>""</f>
        <v/>
      </c>
      <c r="E155" s="1" t="str">
        <f t="shared" si="25"/>
        <v>2</v>
      </c>
      <c r="F155" s="1" t="str">
        <f t="shared" si="26"/>
        <v>H4962</v>
      </c>
      <c r="G155" s="1" t="str">
        <f t="shared" si="27"/>
        <v>화평토건 주식회사[현대건설-힐스테이트불로포레스트]</v>
      </c>
      <c r="H155" s="3" t="str">
        <f t="shared" si="28"/>
        <v>N</v>
      </c>
      <c r="I155" s="1" t="str">
        <f t="shared" si="29"/>
        <v>2</v>
      </c>
      <c r="J155" s="1" t="str">
        <f>"20230405"</f>
        <v>20230405</v>
      </c>
      <c r="K155" s="1" t="str">
        <f t="shared" si="24"/>
        <v>D</v>
      </c>
      <c r="L155" s="1" t="str">
        <f t="shared" si="30"/>
        <v>소음</v>
      </c>
    </row>
    <row r="156" spans="1:12">
      <c r="A156" s="3" t="s">
        <v>3</v>
      </c>
      <c r="B156" s="1" t="str">
        <f>"11-14719"</f>
        <v>11-14719</v>
      </c>
      <c r="C156" s="1">
        <v>45400</v>
      </c>
      <c r="D156" s="1" t="str">
        <f>""</f>
        <v/>
      </c>
      <c r="E156" s="1" t="str">
        <f t="shared" si="25"/>
        <v>2</v>
      </c>
      <c r="F156" s="1" t="str">
        <f t="shared" si="26"/>
        <v>H4962</v>
      </c>
      <c r="G156" s="1" t="str">
        <f t="shared" si="27"/>
        <v>화평토건 주식회사[현대건설-힐스테이트불로포레스트]</v>
      </c>
      <c r="H156" s="3" t="str">
        <f t="shared" si="28"/>
        <v>N</v>
      </c>
      <c r="I156" s="1" t="str">
        <f t="shared" si="29"/>
        <v>2</v>
      </c>
      <c r="J156" s="1" t="str">
        <f>"20230405"</f>
        <v>20230405</v>
      </c>
      <c r="K156" s="1" t="str">
        <f t="shared" si="24"/>
        <v>D</v>
      </c>
      <c r="L156" s="1" t="str">
        <f t="shared" si="30"/>
        <v>소음</v>
      </c>
    </row>
    <row r="157" spans="1:12">
      <c r="A157" s="3" t="s">
        <v>3</v>
      </c>
      <c r="B157" s="1" t="str">
        <f>"23-01649"</f>
        <v>23-01649</v>
      </c>
      <c r="C157" s="1">
        <v>45400</v>
      </c>
      <c r="D157" s="1" t="str">
        <f>""</f>
        <v/>
      </c>
      <c r="E157" s="1" t="str">
        <f t="shared" si="25"/>
        <v>2</v>
      </c>
      <c r="F157" s="1" t="str">
        <f t="shared" si="26"/>
        <v>H4962</v>
      </c>
      <c r="G157" s="1" t="str">
        <f t="shared" si="27"/>
        <v>화평토건 주식회사[현대건설-힐스테이트불로포레스트]</v>
      </c>
      <c r="H157" s="3" t="str">
        <f t="shared" si="28"/>
        <v>N</v>
      </c>
      <c r="I157" s="1" t="str">
        <f t="shared" si="29"/>
        <v>2</v>
      </c>
      <c r="J157" s="1" t="str">
        <f>"20230405"</f>
        <v>20230405</v>
      </c>
      <c r="K157" s="1" t="str">
        <f t="shared" si="24"/>
        <v>D</v>
      </c>
      <c r="L157" s="1" t="str">
        <f t="shared" si="30"/>
        <v>소음</v>
      </c>
    </row>
    <row r="158" spans="1:12">
      <c r="A158" s="3" t="s">
        <v>3</v>
      </c>
      <c r="B158" s="1" t="str">
        <f>"23-01698"</f>
        <v>23-01698</v>
      </c>
      <c r="C158" s="1">
        <v>41370</v>
      </c>
      <c r="D158" s="1" t="str">
        <f>""</f>
        <v/>
      </c>
      <c r="E158" s="1" t="str">
        <f t="shared" si="25"/>
        <v>2</v>
      </c>
      <c r="F158" s="1" t="str">
        <f t="shared" si="26"/>
        <v>H4962</v>
      </c>
      <c r="G158" s="1" t="str">
        <f t="shared" si="27"/>
        <v>화평토건 주식회사[현대건설-힐스테이트불로포레스트]</v>
      </c>
      <c r="H158" s="3" t="str">
        <f t="shared" si="28"/>
        <v>N</v>
      </c>
      <c r="I158" s="1" t="str">
        <f>"1"</f>
        <v>1</v>
      </c>
      <c r="J158" s="1" t="str">
        <f>"20230210"</f>
        <v>20230210</v>
      </c>
      <c r="K158" s="1" t="str">
        <f t="shared" si="24"/>
        <v>D</v>
      </c>
      <c r="L158" s="1" t="str">
        <f>"노인신체기능+인지기능장애+일반검진+정신건강검사+소음(배치전)+광물성분진+목분진"</f>
        <v>노인신체기능+인지기능장애+일반검진+정신건강검사+소음(배치전)+광물성분진+목분진</v>
      </c>
    </row>
    <row r="159" spans="1:12">
      <c r="A159" s="3" t="s">
        <v>3</v>
      </c>
      <c r="B159" s="1" t="str">
        <f>"23-01696"</f>
        <v>23-01696</v>
      </c>
      <c r="C159" s="1">
        <v>41370</v>
      </c>
      <c r="D159" s="1" t="str">
        <f>""</f>
        <v/>
      </c>
      <c r="E159" s="1" t="str">
        <f t="shared" si="25"/>
        <v>2</v>
      </c>
      <c r="F159" s="1" t="str">
        <f t="shared" si="26"/>
        <v>H4962</v>
      </c>
      <c r="G159" s="1" t="str">
        <f t="shared" si="27"/>
        <v>화평토건 주식회사[현대건설-힐스테이트불로포레스트]</v>
      </c>
      <c r="H159" s="3" t="str">
        <f t="shared" si="28"/>
        <v>N</v>
      </c>
      <c r="I159" s="1" t="str">
        <f>"1"</f>
        <v>1</v>
      </c>
      <c r="J159" s="1" t="str">
        <f>"20230210"</f>
        <v>20230210</v>
      </c>
      <c r="K159" s="1" t="str">
        <f t="shared" si="24"/>
        <v>D</v>
      </c>
      <c r="L159" s="1" t="str">
        <f>"이상지질혈증+일반검진+정신건강검사+소음(배치전)+광물성분진+목분진"</f>
        <v>이상지질혈증+일반검진+정신건강검사+소음(배치전)+광물성분진+목분진</v>
      </c>
    </row>
    <row r="160" spans="1:12">
      <c r="A160" s="3" t="s">
        <v>3</v>
      </c>
      <c r="B160" s="1" t="str">
        <f>"13-20335"</f>
        <v>13-20335</v>
      </c>
      <c r="C160" s="1">
        <v>41370</v>
      </c>
      <c r="D160" s="1" t="str">
        <f>""</f>
        <v/>
      </c>
      <c r="E160" s="1" t="str">
        <f t="shared" si="25"/>
        <v>2</v>
      </c>
      <c r="F160" s="1" t="str">
        <f t="shared" si="26"/>
        <v>H4962</v>
      </c>
      <c r="G160" s="1" t="str">
        <f t="shared" si="27"/>
        <v>화평토건 주식회사[현대건설-힐스테이트불로포레스트]</v>
      </c>
      <c r="H160" s="3" t="str">
        <f t="shared" si="28"/>
        <v>N</v>
      </c>
      <c r="I160" s="1" t="str">
        <f>"1"</f>
        <v>1</v>
      </c>
      <c r="J160" s="1" t="str">
        <f>"20230210"</f>
        <v>20230210</v>
      </c>
      <c r="K160" s="1" t="str">
        <f t="shared" si="24"/>
        <v>D</v>
      </c>
      <c r="L160" s="1" t="str">
        <f>"일반검진+소음(배치전)+광물성분진+목분진"</f>
        <v>일반검진+소음(배치전)+광물성분진+목분진</v>
      </c>
    </row>
    <row r="161" spans="1:12">
      <c r="A161" s="3" t="s">
        <v>3</v>
      </c>
      <c r="B161" s="1" t="str">
        <f>"23-01693"</f>
        <v>23-01693</v>
      </c>
      <c r="C161" s="1">
        <v>41370</v>
      </c>
      <c r="D161" s="1" t="str">
        <f>""</f>
        <v/>
      </c>
      <c r="E161" s="1" t="str">
        <f t="shared" si="25"/>
        <v>2</v>
      </c>
      <c r="F161" s="1" t="str">
        <f t="shared" si="26"/>
        <v>H4962</v>
      </c>
      <c r="G161" s="1" t="str">
        <f t="shared" si="27"/>
        <v>화평토건 주식회사[현대건설-힐스테이트불로포레스트]</v>
      </c>
      <c r="H161" s="3" t="str">
        <f t="shared" si="28"/>
        <v>N</v>
      </c>
      <c r="I161" s="1" t="str">
        <f>"1"</f>
        <v>1</v>
      </c>
      <c r="J161" s="1" t="str">
        <f>"20230210"</f>
        <v>20230210</v>
      </c>
      <c r="K161" s="1" t="str">
        <f t="shared" si="24"/>
        <v>D</v>
      </c>
      <c r="L161" s="1" t="str">
        <f>"일반검진+소음(배치전)+광물성분진+목분진"</f>
        <v>일반검진+소음(배치전)+광물성분진+목분진</v>
      </c>
    </row>
    <row r="162" spans="1:12">
      <c r="A162" s="3" t="s">
        <v>3</v>
      </c>
      <c r="B162" s="1" t="str">
        <f>"23-01647"</f>
        <v>23-01647</v>
      </c>
      <c r="C162" s="1">
        <v>45400</v>
      </c>
      <c r="D162" s="1" t="str">
        <f>""</f>
        <v/>
      </c>
      <c r="E162" s="1" t="str">
        <f t="shared" si="25"/>
        <v>2</v>
      </c>
      <c r="F162" s="1" t="str">
        <f t="shared" si="26"/>
        <v>H4962</v>
      </c>
      <c r="G162" s="1" t="str">
        <f t="shared" si="27"/>
        <v>화평토건 주식회사[현대건설-힐스테이트불로포레스트]</v>
      </c>
      <c r="H162" s="3" t="str">
        <f t="shared" si="28"/>
        <v>N</v>
      </c>
      <c r="I162" s="1" t="str">
        <f t="shared" ref="I162:I167" si="31">"2"</f>
        <v>2</v>
      </c>
      <c r="J162" s="1" t="str">
        <f>"20230404"</f>
        <v>20230404</v>
      </c>
      <c r="K162" s="1" t="str">
        <f t="shared" si="24"/>
        <v>D</v>
      </c>
      <c r="L162" s="1" t="str">
        <f t="shared" ref="L162:L167" si="32">"소음"</f>
        <v>소음</v>
      </c>
    </row>
    <row r="163" spans="1:12">
      <c r="A163" s="3" t="s">
        <v>3</v>
      </c>
      <c r="B163" s="1" t="str">
        <f>"23-01691"</f>
        <v>23-01691</v>
      </c>
      <c r="C163" s="1">
        <v>45400</v>
      </c>
      <c r="D163" s="1" t="str">
        <f>""</f>
        <v/>
      </c>
      <c r="E163" s="1" t="str">
        <f t="shared" si="25"/>
        <v>2</v>
      </c>
      <c r="F163" s="1" t="str">
        <f t="shared" si="26"/>
        <v>H4962</v>
      </c>
      <c r="G163" s="1" t="str">
        <f t="shared" si="27"/>
        <v>화평토건 주식회사[현대건설-힐스테이트불로포레스트]</v>
      </c>
      <c r="H163" s="3" t="str">
        <f t="shared" si="28"/>
        <v>N</v>
      </c>
      <c r="I163" s="1" t="str">
        <f t="shared" si="31"/>
        <v>2</v>
      </c>
      <c r="J163" s="1" t="str">
        <f>"20230404"</f>
        <v>20230404</v>
      </c>
      <c r="K163" s="1" t="str">
        <f t="shared" si="24"/>
        <v>D</v>
      </c>
      <c r="L163" s="1" t="str">
        <f t="shared" si="32"/>
        <v>소음</v>
      </c>
    </row>
    <row r="164" spans="1:12">
      <c r="A164" s="3" t="s">
        <v>3</v>
      </c>
      <c r="B164" s="1" t="str">
        <f>"23-01290"</f>
        <v>23-01290</v>
      </c>
      <c r="C164" s="1">
        <v>45400</v>
      </c>
      <c r="D164" s="1" t="str">
        <f>""</f>
        <v/>
      </c>
      <c r="E164" s="1" t="str">
        <f t="shared" si="25"/>
        <v>2</v>
      </c>
      <c r="F164" s="1" t="str">
        <f t="shared" si="26"/>
        <v>H4962</v>
      </c>
      <c r="G164" s="1" t="str">
        <f t="shared" si="27"/>
        <v>화평토건 주식회사[현대건설-힐스테이트불로포레스트]</v>
      </c>
      <c r="H164" s="3" t="str">
        <f t="shared" si="28"/>
        <v>N</v>
      </c>
      <c r="I164" s="1" t="str">
        <f t="shared" si="31"/>
        <v>2</v>
      </c>
      <c r="J164" s="1" t="str">
        <f>"20230314"</f>
        <v>20230314</v>
      </c>
      <c r="K164" s="1" t="str">
        <f t="shared" si="24"/>
        <v>D</v>
      </c>
      <c r="L164" s="1" t="str">
        <f t="shared" si="32"/>
        <v>소음</v>
      </c>
    </row>
    <row r="165" spans="1:12">
      <c r="A165" s="3" t="s">
        <v>3</v>
      </c>
      <c r="B165" s="1" t="str">
        <f>"23-01643"</f>
        <v>23-01643</v>
      </c>
      <c r="C165" s="1">
        <v>45400</v>
      </c>
      <c r="D165" s="1" t="str">
        <f>""</f>
        <v/>
      </c>
      <c r="E165" s="1" t="str">
        <f t="shared" si="25"/>
        <v>2</v>
      </c>
      <c r="F165" s="1" t="str">
        <f t="shared" si="26"/>
        <v>H4962</v>
      </c>
      <c r="G165" s="1" t="str">
        <f t="shared" si="27"/>
        <v>화평토건 주식회사[현대건설-힐스테이트불로포레스트]</v>
      </c>
      <c r="H165" s="3" t="str">
        <f t="shared" si="28"/>
        <v>N</v>
      </c>
      <c r="I165" s="1" t="str">
        <f t="shared" si="31"/>
        <v>2</v>
      </c>
      <c r="J165" s="1" t="str">
        <f>"20230404"</f>
        <v>20230404</v>
      </c>
      <c r="K165" s="1" t="str">
        <f t="shared" si="24"/>
        <v>D</v>
      </c>
      <c r="L165" s="1" t="str">
        <f t="shared" si="32"/>
        <v>소음</v>
      </c>
    </row>
    <row r="166" spans="1:12">
      <c r="A166" s="3" t="s">
        <v>3</v>
      </c>
      <c r="B166" s="1" t="str">
        <f>"23-01286"</f>
        <v>23-01286</v>
      </c>
      <c r="C166" s="1">
        <v>45400</v>
      </c>
      <c r="D166" s="1" t="str">
        <f>""</f>
        <v/>
      </c>
      <c r="E166" s="1" t="str">
        <f t="shared" si="25"/>
        <v>2</v>
      </c>
      <c r="F166" s="1" t="str">
        <f t="shared" si="26"/>
        <v>H4962</v>
      </c>
      <c r="G166" s="1" t="str">
        <f t="shared" si="27"/>
        <v>화평토건 주식회사[현대건설-힐스테이트불로포레스트]</v>
      </c>
      <c r="H166" s="3" t="str">
        <f t="shared" si="28"/>
        <v>N</v>
      </c>
      <c r="I166" s="1" t="str">
        <f t="shared" si="31"/>
        <v>2</v>
      </c>
      <c r="J166" s="1" t="str">
        <f>"20230314"</f>
        <v>20230314</v>
      </c>
      <c r="K166" s="1" t="str">
        <f t="shared" si="24"/>
        <v>D</v>
      </c>
      <c r="L166" s="1" t="str">
        <f t="shared" si="32"/>
        <v>소음</v>
      </c>
    </row>
    <row r="167" spans="1:12">
      <c r="A167" s="3" t="s">
        <v>3</v>
      </c>
      <c r="B167" s="1" t="str">
        <f>"23-01288"</f>
        <v>23-01288</v>
      </c>
      <c r="C167" s="1">
        <v>45400</v>
      </c>
      <c r="D167" s="1" t="str">
        <f>""</f>
        <v/>
      </c>
      <c r="E167" s="1" t="str">
        <f t="shared" si="25"/>
        <v>2</v>
      </c>
      <c r="F167" s="1" t="str">
        <f t="shared" si="26"/>
        <v>H4962</v>
      </c>
      <c r="G167" s="1" t="str">
        <f t="shared" si="27"/>
        <v>화평토건 주식회사[현대건설-힐스테이트불로포레스트]</v>
      </c>
      <c r="H167" s="3" t="str">
        <f t="shared" si="28"/>
        <v>N</v>
      </c>
      <c r="I167" s="1" t="str">
        <f t="shared" si="31"/>
        <v>2</v>
      </c>
      <c r="J167" s="1" t="str">
        <f>"20230314"</f>
        <v>20230314</v>
      </c>
      <c r="K167" s="1" t="str">
        <f t="shared" si="24"/>
        <v>D</v>
      </c>
      <c r="L167" s="1" t="str">
        <f t="shared" si="32"/>
        <v>소음</v>
      </c>
    </row>
    <row r="168" spans="1:12">
      <c r="C168" s="2">
        <f>SUM(C2:C167)</f>
        <v>9368780</v>
      </c>
    </row>
  </sheetData>
  <autoFilter ref="A1:L168"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SQLT0011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2024-01-23T02:41:53Z</dcterms:created>
  <dcterms:modified xsi:type="dcterms:W3CDTF">2024-01-23T02:41:53Z</dcterms:modified>
</cp:coreProperties>
</file>